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tima\OneDrive for Business\Desktop\AUDIT\GTA\"/>
    </mc:Choice>
  </mc:AlternateContent>
  <bookViews>
    <workbookView xWindow="0" yWindow="0" windowWidth="20490" windowHeight="7755"/>
  </bookViews>
  <sheets>
    <sheet name="AUG 2017" sheetId="2" r:id="rId1"/>
    <sheet name="SEPT 2017" sheetId="1" r:id="rId2"/>
    <sheet name="OCT 2017" sheetId="3" r:id="rId3"/>
    <sheet name="NOV -17" sheetId="4" r:id="rId4"/>
    <sheet name="DEC 17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9" i="5" l="1"/>
  <c r="C428" i="5"/>
  <c r="C427" i="5"/>
  <c r="C426" i="5"/>
  <c r="C425" i="5"/>
  <c r="C424" i="5"/>
  <c r="C423" i="5"/>
  <c r="C422" i="5"/>
  <c r="C421" i="5"/>
  <c r="C420" i="5"/>
  <c r="C419" i="5"/>
  <c r="C418" i="5"/>
  <c r="C417" i="5"/>
  <c r="C416" i="5"/>
  <c r="C415" i="5"/>
  <c r="C414" i="5"/>
  <c r="C413" i="5"/>
  <c r="C412" i="5"/>
  <c r="C411" i="5"/>
  <c r="C410" i="5"/>
  <c r="C409" i="5"/>
  <c r="C408" i="5"/>
  <c r="C407" i="5"/>
  <c r="C406" i="5"/>
  <c r="C405" i="5"/>
  <c r="C404" i="5"/>
  <c r="C403" i="5"/>
  <c r="C402" i="5"/>
  <c r="C401" i="5"/>
  <c r="C400" i="5"/>
  <c r="C399" i="5"/>
  <c r="C398" i="5"/>
  <c r="C397" i="5"/>
  <c r="C396" i="5"/>
  <c r="C395" i="5"/>
  <c r="C394" i="5"/>
  <c r="C393" i="5"/>
  <c r="C392" i="5"/>
  <c r="C391" i="5"/>
  <c r="C390" i="5"/>
  <c r="C389" i="5"/>
  <c r="C388" i="5"/>
  <c r="C387" i="5"/>
  <c r="C386" i="5"/>
  <c r="C385" i="5"/>
  <c r="C384" i="5"/>
  <c r="C383" i="5"/>
  <c r="C382" i="5"/>
  <c r="C381" i="5"/>
  <c r="C380" i="5"/>
  <c r="C379" i="5"/>
  <c r="C378" i="5"/>
  <c r="C377" i="5"/>
  <c r="C376" i="5"/>
  <c r="C375" i="5"/>
  <c r="C374" i="5"/>
  <c r="C373" i="5"/>
  <c r="C372" i="5"/>
  <c r="C371" i="5"/>
  <c r="C370" i="5"/>
  <c r="C369" i="5"/>
  <c r="C368" i="5"/>
  <c r="C367" i="5"/>
  <c r="C366" i="5"/>
  <c r="C365" i="5"/>
  <c r="C364" i="5"/>
  <c r="C363" i="5"/>
  <c r="C362" i="5"/>
  <c r="C361" i="5"/>
  <c r="C360" i="5"/>
  <c r="C359" i="5"/>
  <c r="C358" i="5"/>
  <c r="C357" i="5"/>
  <c r="C356" i="5"/>
  <c r="C355" i="5"/>
  <c r="C354" i="5"/>
  <c r="C353" i="5"/>
  <c r="C352" i="5"/>
  <c r="C351" i="5"/>
  <c r="C350" i="5"/>
  <c r="C349" i="5"/>
  <c r="C348" i="5"/>
  <c r="C347" i="5"/>
  <c r="C346" i="5"/>
  <c r="C345" i="5"/>
  <c r="C344" i="5"/>
  <c r="C343" i="5"/>
  <c r="C342" i="5"/>
  <c r="C341" i="5"/>
  <c r="C340" i="5"/>
  <c r="C339" i="5"/>
  <c r="C338" i="5"/>
  <c r="C337" i="5"/>
  <c r="C336" i="5"/>
  <c r="C335" i="5"/>
  <c r="C334" i="5"/>
  <c r="C333" i="5"/>
  <c r="C332" i="5"/>
  <c r="C331" i="5"/>
  <c r="C330" i="5"/>
  <c r="C329" i="5"/>
  <c r="C328" i="5"/>
  <c r="C327" i="5"/>
  <c r="C326" i="5"/>
  <c r="C325" i="5"/>
  <c r="C324" i="5"/>
  <c r="C323" i="5"/>
  <c r="C322" i="5"/>
  <c r="C321" i="5"/>
  <c r="C320" i="5"/>
  <c r="C319" i="5"/>
  <c r="C318" i="5"/>
  <c r="C317" i="5"/>
  <c r="C316" i="5"/>
  <c r="C315" i="5"/>
  <c r="C314" i="5"/>
  <c r="C313" i="5"/>
  <c r="C312" i="5"/>
  <c r="C311" i="5"/>
  <c r="C310" i="5"/>
  <c r="C309" i="5"/>
  <c r="C308" i="5"/>
  <c r="C307" i="5"/>
  <c r="C306" i="5"/>
  <c r="C305" i="5"/>
  <c r="C304" i="5"/>
  <c r="C303" i="5"/>
  <c r="C302" i="5"/>
  <c r="C301" i="5"/>
  <c r="C300" i="5"/>
  <c r="C299" i="5"/>
  <c r="C298" i="5"/>
  <c r="C297" i="5"/>
  <c r="C296" i="5"/>
  <c r="C295" i="5"/>
  <c r="C294" i="5"/>
  <c r="C293" i="5"/>
  <c r="C292" i="5"/>
  <c r="C291" i="5"/>
  <c r="C290" i="5"/>
  <c r="C289" i="5"/>
  <c r="C288" i="5"/>
  <c r="C287" i="5"/>
  <c r="C286" i="5"/>
  <c r="C285" i="5"/>
  <c r="C284" i="5"/>
  <c r="C283" i="5"/>
  <c r="C282" i="5"/>
  <c r="C281" i="5"/>
  <c r="C280" i="5"/>
  <c r="C279" i="5"/>
  <c r="C278" i="5"/>
  <c r="C277" i="5"/>
  <c r="C276" i="5"/>
  <c r="C275" i="5"/>
  <c r="C274" i="5"/>
  <c r="C273" i="5"/>
  <c r="C272" i="5"/>
  <c r="C271" i="5"/>
  <c r="C270" i="5"/>
  <c r="C269" i="5"/>
  <c r="C268" i="5"/>
  <c r="C267" i="5"/>
  <c r="C266" i="5"/>
  <c r="C265" i="5"/>
  <c r="C264" i="5"/>
  <c r="C263" i="5"/>
  <c r="C262" i="5"/>
  <c r="C261" i="5"/>
  <c r="C260" i="5"/>
  <c r="C259" i="5"/>
  <c r="C258" i="5"/>
  <c r="C257" i="5"/>
  <c r="C256" i="5"/>
  <c r="C255" i="5"/>
  <c r="C254" i="5"/>
  <c r="C253" i="5"/>
  <c r="C252" i="5"/>
  <c r="C251" i="5"/>
  <c r="C250" i="5"/>
  <c r="C249" i="5"/>
  <c r="C248" i="5"/>
  <c r="C247" i="5"/>
  <c r="C246" i="5"/>
  <c r="C245" i="5"/>
  <c r="C244" i="5"/>
  <c r="C243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B8" i="5"/>
  <c r="C395" i="4" l="1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B8" i="4"/>
  <c r="C380" i="3" l="1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B8" i="3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B8" i="2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B8" i="1"/>
</calcChain>
</file>

<file path=xl/sharedStrings.xml><?xml version="1.0" encoding="utf-8"?>
<sst xmlns="http://schemas.openxmlformats.org/spreadsheetml/2006/main" count="2037" uniqueCount="1478">
  <si>
    <t>Account Activity</t>
  </si>
  <si>
    <t>Customer No:</t>
  </si>
  <si>
    <t>Account Number:</t>
  </si>
  <si>
    <t>Account Currency:</t>
  </si>
  <si>
    <t xml:space="preserve"> USD</t>
  </si>
  <si>
    <t>Booked Balance:</t>
  </si>
  <si>
    <t>Cleared Balance:</t>
  </si>
  <si>
    <t>Specified period (01-09-2017 - 30-09-2017)</t>
  </si>
  <si>
    <t xml:space="preserve">	Transaction Date</t>
  </si>
  <si>
    <t>Value Date</t>
  </si>
  <si>
    <t>Transaction Reference No.</t>
  </si>
  <si>
    <t>Description</t>
  </si>
  <si>
    <t>Debit</t>
  </si>
  <si>
    <t>Credit</t>
  </si>
  <si>
    <t>Balance</t>
  </si>
  <si>
    <t>FT172444QF77/0100002772099 1/STEPHEN NDUNGU 2/P.O. BOX 747 3/KE/NAIROB</t>
  </si>
  <si>
    <t>3724400742/0101534022 WORLD VISION KENYA P.O BOX 56527-00200 NAIROBI</t>
  </si>
  <si>
    <t>SE07801709010078/8706022985000 PRICEWATERHOUSECOOPERS LIMITED. PO 4396</t>
  </si>
  <si>
    <t>OUTGOING SWIFT SW09901091755328PR-000000001122-PR</t>
  </si>
  <si>
    <t>SWIFT OUTGOING CHARGES</t>
  </si>
  <si>
    <t>Excise Duty Debit</t>
  </si>
  <si>
    <t>.;DORCAS;                                                             .          CASH CRE</t>
  </si>
  <si>
    <t>SE07801709010334KES4400.00@104.00/MULTICHOICE KENYA LTD</t>
  </si>
  <si>
    <t>INWARD UNPD 000264 (63) - 106  --</t>
  </si>
  <si>
    <t>0;RACHEL;0                                                            0          CASH CRE</t>
  </si>
  <si>
    <t>-;JEROME;-                                                            -          CASH CRE</t>
  </si>
  <si>
    <t>-;NESTIE;-                                                            -          CASH CRE</t>
  </si>
  <si>
    <t>-;FRANK;-                                                             -          CASH CRE</t>
  </si>
  <si>
    <t>-;EMMANUEL;-                                                          -          CASH CRE</t>
  </si>
  <si>
    <t>-;BEN;-                                                               -          CASH CRE</t>
  </si>
  <si>
    <t>-;VINCENT;-                                                           -          CASH CRE</t>
  </si>
  <si>
    <t>+;MERCY;-                                                             -+         CASH CRE</t>
  </si>
  <si>
    <t>-;DORCAS;-                                                            -          CASH CRE</t>
  </si>
  <si>
    <t>FT17247BH18L/6597680034 1/DEL.OF THE COMM.OF EUROPE COMMIS 2/CBA BUILD</t>
  </si>
  <si>
    <t>Encashed cheque no.106796;106796;</t>
  </si>
  <si>
    <t>0;00;Cash Deposit</t>
  </si>
  <si>
    <t>0;0;Cash Deposit</t>
  </si>
  <si>
    <t>FT172471XB4R/6605330029 1/AUSTRALIAN HIGH COMMISSION 2/RIVERSIDE DRIVE</t>
  </si>
  <si>
    <t>030RCUS040917018/0104126132 JUBILEE INSURANCE CO K LTD CERT OF INCORP</t>
  </si>
  <si>
    <t>SW09904091756102 OUTGOING RTGSPR-000000001247-PR</t>
  </si>
  <si>
    <t>0;JACQUE;0                                                            0          CASH CRE</t>
  </si>
  <si>
    <t>0;MEMORY;0                                                            0          CASH CRE</t>
  </si>
  <si>
    <t>0;KAMAI;0                                                             0          CASH CRE</t>
  </si>
  <si>
    <t>INWARD CLEARING 106785 - 002  --</t>
  </si>
  <si>
    <t>INWARD CLEARING 106782 - 002  --</t>
  </si>
  <si>
    <t>FT172480M1KC/0100002772099 1/STEPHEN NDUNGU 2/P.O. BOX 747 3/KE/NAIROB</t>
  </si>
  <si>
    <t>SE07801709050872/8708003408904 AMREF HEALTH AFRICA PO 30125P.O BOX 30</t>
  </si>
  <si>
    <t>013RTGS172480009/0011085009126601 AFRICAN POPULATION AND HEALTH RESE P</t>
  </si>
  <si>
    <t>FT172485NK3K/USD1455100010001 KCB CARD CENTREUSD421.40@99.6363</t>
  </si>
  <si>
    <t>2465400248FCUSD2185.00@99.6363/833370001 WORLD HEALTH ORGANIZATION-WHO</t>
  </si>
  <si>
    <t>1468000244FCUSD9506.00@99.588/40051573447444 THE TRAVEL COMPANY LIMITE</t>
  </si>
  <si>
    <t>1468000244FCUSD10.00@99.588/40051573447444 THE TRAVEL COMPANY LIMITED</t>
  </si>
  <si>
    <t>S0672482E4C001USD6834.00@99.588/0104196015 LUFTHANSA GERMAN AIRLINES P</t>
  </si>
  <si>
    <t>C736123OCP090517USD700000.00@99.588/1109162863 1109162863 HIGHLIGHT TR</t>
  </si>
  <si>
    <t>C736123OCP090517USD10.00@99.588/1109162863 1109162863 HIGHLIGHT TRAVEL</t>
  </si>
  <si>
    <t>-;MAINA;Cash Deposit</t>
  </si>
  <si>
    <t>FT17249J5RVJ/USD1455100010001 KCB CARD CENTREUSD444.92@99.588</t>
  </si>
  <si>
    <t>IR07801709061672/8700121590300 JOSHUA BASSATT OUNSTED PO 1590P.O. BOX</t>
  </si>
  <si>
    <t>3724901812/0101952339 WORLD WIDE FUND FOR NATURE P.O.BOX 62440 - 00200</t>
  </si>
  <si>
    <t>3724901813/0101952029 WORLD WIDE FUND FOR NATURE P.O.BOX 62440 - 00200</t>
  </si>
  <si>
    <t>EXCISE DUTY 0408600249FCUSD165.00@99.588/833370001 WORLD HEALTH ORGANIZATION-WHO H</t>
  </si>
  <si>
    <t>0408600249FCUSD165.00@99.588/833370001 WORLD HEALTH ORGANIZATION-WHO H</t>
  </si>
  <si>
    <t>EXCISE DUTY C736123OCP090517USD700000.00@99.588/1109162863 1109162863 HIGHLIGHT TR</t>
  </si>
  <si>
    <t>EXCISE DUTY 1468000244FCUSD9506.00@99.588/40051573447444 THE TRAVEL COMPANY LIMITE</t>
  </si>
  <si>
    <t>Encashed cheque no.106759;106759;</t>
  </si>
  <si>
    <t>Encashed cheque no.106758;106758;</t>
  </si>
  <si>
    <t>INWARD CLEARING 106766 - 002  --</t>
  </si>
  <si>
    <t>INWARD CLEARING 106688 - 002  --</t>
  </si>
  <si>
    <t>INWARD CLEARING 106689 - 002  --</t>
  </si>
  <si>
    <t>INWARD CLEARING 106690 - 002  --</t>
  </si>
  <si>
    <t>INWARD CLEARING 106702 - 002  --</t>
  </si>
  <si>
    <t>INWARD CLEARING 106692 - 002  --</t>
  </si>
  <si>
    <t>INWARD CLEARING 106693 - 002  --</t>
  </si>
  <si>
    <t>INWARD CLEARING 106687 - 002  --</t>
  </si>
  <si>
    <t>F50906618173000USD1485.00@99.53975/NL24INGB0705454010 MINISTERIE VAN B</t>
  </si>
  <si>
    <t>C214320OCP090617USD1999.00@99.53975/9130000129694 1/CARGILL ZAMBIA 200</t>
  </si>
  <si>
    <t>2017090600091859USD3255.00@99.53975/0000000000000000000000870441077540</t>
  </si>
  <si>
    <t>S0672500202A01USD6241.00@99.53975/0104399040 AFRICAN TRADE INSURANCE A</t>
  </si>
  <si>
    <t>S0672490057E01USD7021.00@99.53975/0104373018 SWISS INTERNATIONAL AIR L</t>
  </si>
  <si>
    <t>S0672500202B01USD12655.00@99.53975/0104399040 AFRICAN TRADE INSURANCE</t>
  </si>
  <si>
    <t>FT17249P3GW9/6596790028 1/UNITED BSA DESIGNATED FUND LTD-NR 2/NAIROBI</t>
  </si>
  <si>
    <t>F50906618173000USD10.00@99.53975/NL24INGB0705454010 MINISTERIE VAN BUI</t>
  </si>
  <si>
    <t>2017090600091859USD10.00@99.53975/0000000000000000000000870441077540 A</t>
  </si>
  <si>
    <t>Encashed cheque no.106800;106800;</t>
  </si>
  <si>
    <t>-;TAWADA;-                                                            0788100041 CASH CRE</t>
  </si>
  <si>
    <t>-;VINCENT;-                                                           0788100041 CASH CRE</t>
  </si>
  <si>
    <t>-;ARISTAR;-                                                           0788100041 CASH CRE</t>
  </si>
  <si>
    <t>FT172502F7YR/USD1455100010001 KCB CARD CENTREUSD114.66@99.53975</t>
  </si>
  <si>
    <t>FT172500HV0T/6605330029 1/AUSTRALIAN HIGH COMMISSION 2/RIVERSIDE DRIVE</t>
  </si>
  <si>
    <t>998ORTG172500018/0131135019188737 AFRICAN UNION- IBAR FISH TRADE PROJ</t>
  </si>
  <si>
    <t>FT17250Y00SW/0100000199111 WORLD ORG.OF THE SCOUT MOVEMENT- P O BOX 63</t>
  </si>
  <si>
    <t>998ORTG172500021/0131135019188706 AU IBAR VETERNARY GOVERANCE PROJECT</t>
  </si>
  <si>
    <t>-;BCD;Cash Deposit</t>
  </si>
  <si>
    <t>*;DORCAS;*                                                            *          CASH CRE</t>
  </si>
  <si>
    <t>SE07801709073406/0000000000000000000000870602014950 BHARTI AIRTEL INTE</t>
  </si>
  <si>
    <t>EXCISE DUTY 2017090600091859USD3255.00@99.53975/0000000000000000000000870441077540</t>
  </si>
  <si>
    <t>EXCISE DUTY F50906618173000USD1485.00@99.53975/NL24INGB0705454010 MINISTERIE VAN B</t>
  </si>
  <si>
    <t>SE07801709080068/8708033625700 C.R.S. USCC KENYA PROGRAM PO 49675P.O.</t>
  </si>
  <si>
    <t>SE07801709080374/8706023946300 CHEIL KENYA LIMITED PO 34P.O. BOX 34 -</t>
  </si>
  <si>
    <t>SE07801709081718/0000000000000000000000870602014950 BHARTI AIRTEL INTE</t>
  </si>
  <si>
    <t>2017090700086002USD2468.00@99.4915/0000000000000000000000870441077540</t>
  </si>
  <si>
    <t>HBKG17I07O472615USD8295.00@99.4915/0304044194 CADG ENGINEERING PTE LTD</t>
  </si>
  <si>
    <t>2017090700086002USD10.00@99.4915/0000000000000000000000870441077540 AI</t>
  </si>
  <si>
    <t>Encashed cheque no.106775;106775;</t>
  </si>
  <si>
    <t>6146700251JSUSD10.00@99.4915/CH020024324345250070R 1/WWF-WORLD WIDE FU</t>
  </si>
  <si>
    <t>FT17251PNKN5/0100005073175 1/MAUREEN KATUMBI WAMBUA 2/P O BOX 41222 3/</t>
  </si>
  <si>
    <t>005RCUS080917008/0500093007 THE  AGA KHAN UNIVERSITY HOSP.NBI CERT OF</t>
  </si>
  <si>
    <t>6146700251JSUSD2277.00@99.4915/CH020024324345250070R 1/WWF-WORLD WIDE</t>
  </si>
  <si>
    <t>EXCISE DUTY 2017090800048531</t>
  </si>
  <si>
    <t>Cash Deposit                                      RACHAEL</t>
  </si>
  <si>
    <t>Cash Deposit</t>
  </si>
  <si>
    <t>FT17254555G5/USD1455100010001 KCB CARD CENTREUSD617.40@99.25025</t>
  </si>
  <si>
    <t>3725401688/0103306019 WARTSILA EASTERN AFRICA LTD P.O.BOX 66782 NAIROB</t>
  </si>
  <si>
    <t>Cash Withdrawal                                   ID 0524934</t>
  </si>
  <si>
    <t>C509260OCP091117USD1211.00@99.25025/9130000129694 1/CARGILL ZAMBIA 200</t>
  </si>
  <si>
    <t>0111709251EZUSD10.00@99.25025/1000010550068 INTERNET SOCIETY MAIN ACCO</t>
  </si>
  <si>
    <t>0111709251EZUSD4455.00@99.25025/1000010550068 INTERNET SOCIETY MAIN AC</t>
  </si>
  <si>
    <t>FT17255QH1S1/7881820049 1/WORLD WIDE FUND FOR NATURE 2/THE MVULI HSE M</t>
  </si>
  <si>
    <t>FT1725570P67/7881820049 1/WORLD WIDE FUND FOR NATURE 2/THE MVULI HSE M</t>
  </si>
  <si>
    <t>EXCISE DUTY 2017090700086002</t>
  </si>
  <si>
    <t>On Us Cheque Encashment                           cash chq 106814</t>
  </si>
  <si>
    <t>Cash Deposit                                      WILLY-0721432654</t>
  </si>
  <si>
    <t>Cash Deposit                                      DORCAS</t>
  </si>
  <si>
    <t>INWARD CLEARING 106801 - 002  --</t>
  </si>
  <si>
    <t>INWARD CLEARING 106789 - 002  --</t>
  </si>
  <si>
    <t>INWARD CLEARING 106798 - 002  --</t>
  </si>
  <si>
    <t>INWARD CLEARING 106790 - 002  --</t>
  </si>
  <si>
    <t>INWARD CLEARING 106786 - 002  --</t>
  </si>
  <si>
    <t>INWARD CLEARING 106787 - 002  --</t>
  </si>
  <si>
    <t>INWARD CLEARING 106793 - 002  --</t>
  </si>
  <si>
    <t>INWARD CLEARING 106802 - 002  --</t>
  </si>
  <si>
    <t>INWARD CLEARING 106791 - 002  --</t>
  </si>
  <si>
    <t>INWARD CLEARING 106788 - 002  --</t>
  </si>
  <si>
    <t>INWARD CLEARING 106807 - 002  --</t>
  </si>
  <si>
    <t>SE07801709130094/8702042581600 MIH EAST AFRICA LIMITED PO 60406P O BO</t>
  </si>
  <si>
    <t>3725600442/0103125014 PHILIPS EAST AFRICA LIMITED P.O. BOX 39764-00623</t>
  </si>
  <si>
    <t>FT172558PRC7/6605330029 1/AUSTRALIAN HIGH COMMISSION 2/RIVERSIDE DRIVE</t>
  </si>
  <si>
    <t>FT17256MCF8T/6597680034 1/DEL.OF THE COMM.OF EUROPE COMMIS 2/CBA BUILD</t>
  </si>
  <si>
    <t>998ORTG172560010/0131135019188703 AU IBAR ADMIN COST PO BOX 30786 0010</t>
  </si>
  <si>
    <t>SE07801709132730/0000000000000000000000870602014950 BHARTI AIRTEL INTE</t>
  </si>
  <si>
    <t>SE07801709132732/0000000000000000000000870602014950 BHARTI AIRTEL INTE</t>
  </si>
  <si>
    <t>998ORTG172560012/0131135019188731 AU- IBAR FISH GOVERANCE PROJECT PO B</t>
  </si>
  <si>
    <t>FT17256RPXCQ/0100004916427 SUSAN I. KAISHA  KURIA K. WAITHAKA P.O. BO</t>
  </si>
  <si>
    <t>OUTGOING SWIFT SW09913091700132/PR-000000002387-PR</t>
  </si>
  <si>
    <t>Cheque deposit no.35;C.B.A Ltd Galleria Mall;</t>
  </si>
  <si>
    <t>Cheque deposit no.287;SCB Ltd Yaya Centre Bran;</t>
  </si>
  <si>
    <t>FT172551086H1/AFRICAN AGRICULTURAL TEC.</t>
  </si>
  <si>
    <t>OUTGOING RTGS SW09914091700093/EDMS 2757</t>
  </si>
  <si>
    <t>SW09914091700096 OUTGOING RTGS EDMS 2758</t>
  </si>
  <si>
    <t>Cash Deposit                                      DORCAS KANA</t>
  </si>
  <si>
    <t>Cash Deposit                                      SARAH KIBUGI</t>
  </si>
  <si>
    <t>FT17257HH9R1/USD1455100010001 KCB CARD CENTREUSD13.72@99.202</t>
  </si>
  <si>
    <t>SW09914091700151 OUTGOING SWIFT PR-000000002389-PR</t>
  </si>
  <si>
    <t>Incoming MT103 Debit  Posting</t>
  </si>
  <si>
    <t>SW09914091700157 OUTGOING SWIFT PR-000000002388-PR</t>
  </si>
  <si>
    <t>INWARD CLEARING 106803 - 002  --</t>
  </si>
  <si>
    <t>INWARD CLEARING 106769 - 002  --</t>
  </si>
  <si>
    <t>OUTGOING SWIFTSW09915091700031/PR-000000002593-PR</t>
  </si>
  <si>
    <t>Cash Deposit                                      DAVID</t>
  </si>
  <si>
    <t>FT17258Z1LZY/USD1455100010001 KCB CARD CENTREUSD769.30@99.25025</t>
  </si>
  <si>
    <t>SE07801709151126/8706094643700 SAFARICOM LIMITED PO 66827P O BOX 6682</t>
  </si>
  <si>
    <t>C136929OCP091417USD1440.00@99.25025/9130001796473 1/CARGILL ZAMBIA 200</t>
  </si>
  <si>
    <t>C140901OCP091417USD2010.00@99.25025/9130000129694 1/CARGILL ZAMBIA 200</t>
  </si>
  <si>
    <t>Cheque Item deposit 505532 Direct</t>
  </si>
  <si>
    <t>Cheque Item deposit 500322 Direct</t>
  </si>
  <si>
    <t>3725802213/0101119025 WORLD VISION - SOMALIA P.O BOX 56527-00200 NAIRO</t>
  </si>
  <si>
    <t>OUTGOING RTGS SW09916091700202/PR-000000002351-PR</t>
  </si>
  <si>
    <t>Account Transfer By Cheque                        JUSTUS WAMBUA</t>
  </si>
  <si>
    <t>999ORTGS5495817/00800904411211 VALAR FRONTIER SOLUTIONS (KENYA )LI P O</t>
  </si>
  <si>
    <t>FT172610C66R/6605330029 1/AUSTRALIAN HIGH COMMISSION 2/RIVERSIDE DRIVE</t>
  </si>
  <si>
    <t>S0672581871401USD1386.00@99.395/0164252066 VALAR FRONTIER SOLUTIONS SU</t>
  </si>
  <si>
    <t>2017091500047189USD10294.00@99.395/8700213281000 ZAMANITA LIMITED PO 3</t>
  </si>
  <si>
    <t>2017091500047189USD10.00@99.395/8700213281000 ZAMANITA LIMITED PO 3141</t>
  </si>
  <si>
    <t>FT17261QVVST/0100003492804 ROBERT BOSCH EAST AFRICA LIMITED P.O BOX 85</t>
  </si>
  <si>
    <t>FT17261FW51W/0100003492804 ROBERT BOSCH EAST AFRICA LIMITED P.O BOX 85</t>
  </si>
  <si>
    <t>FT17261Y12FC/0100003492804 ROBERT BOSCH EAST AFRICA LIMITED P.O BOX 85</t>
  </si>
  <si>
    <t>FT1726135J93/0100003492804 ROBERT BOSCH EAST AFRICA LIMITED P.O BOX 85</t>
  </si>
  <si>
    <t>FT17261XCNKL/0100003492804 ROBERT BOSCH EAST AFRICA LIMITED P.O BOX 85</t>
  </si>
  <si>
    <t>FT17261NF9XJ/0100003492804 ROBERT BOSCH EAST AFRICA LIMITED P.O BOX 85</t>
  </si>
  <si>
    <t>FT17261WKR2Q/0100003492804 ROBERT BOSCH EAST AFRICA LIMITED P.O BOX 85</t>
  </si>
  <si>
    <t>FT172611C8HZ/0100003492804 ROBERT BOSCH EAST AFRICA LIMITED P.O BOX 85</t>
  </si>
  <si>
    <t>FT17261C4PM8/0100003492804 ROBERT BOSCH EAST AFRICA LIMITED P.O BOX 85</t>
  </si>
  <si>
    <t>FT17261MM5GZ/0100003492804 ROBERT BOSCH EAST AFRICA LIMITED P.O BOX 85</t>
  </si>
  <si>
    <t>FT17261169MZ/0100003492804 ROBERT BOSCH EAST AFRICA LIMITED P.O BOX 85</t>
  </si>
  <si>
    <t>FT17261369H8/0100003492804 ROBERT BOSCH EAST AFRICA LIMITED P.O BOX 85</t>
  </si>
  <si>
    <t>FT17261JWL06/0100003492804 ROBERT BOSCH EAST AFRICA LIMITED P.O BOX 85</t>
  </si>
  <si>
    <t>FT17261SSL7S/USD1455100010001 KCB CARD CENTREUSD1370.31@99.395</t>
  </si>
  <si>
    <t>FT17261WRYVN/0100003492804 ROBERT BOSCH EAST AFRICA LIMITED P.O BOX 85</t>
  </si>
  <si>
    <t>SE07801709182372/8708003408901 AMREF HEALTH AFRICA PO 30125P.O BOX 30</t>
  </si>
  <si>
    <t>FT17261XFC1L/0100003492804 ROBERT BOSCH EAST AFRICA LIMITED P.O BOX 85</t>
  </si>
  <si>
    <t>FT17261GQCSW/0100003492804 ROBERT BOSCH EAST AFRICA LIMITED P.O BOX 85</t>
  </si>
  <si>
    <t>SE07801709183068/8708003408904 AMREF HEALTH AFRICA PO 30125P.O BOX 30</t>
  </si>
  <si>
    <t>SE07801709183024/8708003408904 AMREF HEALTH AFRICA PO 30125P.O BOX 30</t>
  </si>
  <si>
    <t>FT17261K12BD/0100003492804 ROBERT BOSCH EAST AFRICA LIMITED P.O BOX 85</t>
  </si>
  <si>
    <t>FT17261BVRJW/0100003492804 ROBERT BOSCH EAST AFRICA LIMITED P.O BOX 85</t>
  </si>
  <si>
    <t>Cheque deposit no.264;Citibank N.A. Head Offic;</t>
  </si>
  <si>
    <t>Cheque deposit no.266;Citibank N.A. Head Offic;</t>
  </si>
  <si>
    <t>Cheque deposit no.49;Equity Bank Ltd Ongata R;</t>
  </si>
  <si>
    <t>Cheque Item deposit 000648</t>
  </si>
  <si>
    <t>INWARD CLEARING 106824 - 002  --</t>
  </si>
  <si>
    <t>INWARD CLEARING 106825 - 002  --</t>
  </si>
  <si>
    <t>INWARD CLEARING 106822 - 002  --</t>
  </si>
  <si>
    <t>2017091500107596USD7042.83@99.395/8706020920200 SAMSUNG ELECTRONICS EA</t>
  </si>
  <si>
    <t>Cash Deposit                                      NCUBE</t>
  </si>
  <si>
    <t>3726201237/0101952029 WORLD WIDE FUND FOR NATURE P.O.BOX 62440 - 00200</t>
  </si>
  <si>
    <t>FT17262GVDMN/USD1455100010001 KCB CARD CENTREUSD3194.80@99.395</t>
  </si>
  <si>
    <t>RTO15100996678/1510265538149 HIGHLIGHT TRAVEL LIMITED P.O.BOX 10141 NA</t>
  </si>
  <si>
    <t>094FT04172620002/2032616820 HIGHLIGHT TRAVEL LIMITED TRANS NATIONAL PL</t>
  </si>
  <si>
    <t>On Us Cheque Encashment                           PURCHASE OF USD.300000 @102.9 FROM ACC0</t>
  </si>
  <si>
    <t>1318209261FFUSD7533.00@99.395/0101119033 WORLD VISION SOMALIA P.O BOX</t>
  </si>
  <si>
    <t>1318209261FFUSD10.00@99.395/0101119033 WORLD VISION SOMALIA P.O BOX 56</t>
  </si>
  <si>
    <t>On Us Cheque Encashment</t>
  </si>
  <si>
    <t>C310153OCP091917USD10.00@99.588/1109162863 HIGHLIGHT TRAVEL LIMITED UN</t>
  </si>
  <si>
    <t>S067262080BE01USD820.00@99.588/0104399040 AFRICAN TRADE INSURANCE AGEN</t>
  </si>
  <si>
    <t>S06726216FC101USD4156.00@99.588/0104625016 PHILIPS LIGHTING EAST AFRIC</t>
  </si>
  <si>
    <t>C310153OCP091917USD500000.00@99.588/1109162863 HIGHLIGHT TRAVEL LIMITE</t>
  </si>
  <si>
    <t>FT1726209MJM/0100004220018 HIGHLIGHT TRAVEL LIMITED T/A BCD P.O BOX 10</t>
  </si>
  <si>
    <t>FT17263XGRJM/0100005073175 1/MAUREEN KATUMBI WAMBUA 2/P O BOX 41222 3/</t>
  </si>
  <si>
    <t>FT17263ZHW4P/USD1455100010001 KCB CARD CENTREUSD525.28@99.588</t>
  </si>
  <si>
    <t>2017091900045122USD11176.47@99.588/8706020920200 SAMSUNG ELECTRONICS E</t>
  </si>
  <si>
    <t>FT17263G67K6/6605330029 1/AUSTRALIAN HIGH COMMISSION 2/RIVERSIDE DRIVE</t>
  </si>
  <si>
    <t>013RTGS172630005/0131135019188738 AU-AFRICAN INSTITUTE FOR REMITTANC P</t>
  </si>
  <si>
    <t>FT17264V13WF/7881820049 1/WORLD WIDE FUND FOR NATURE 2/THE MVULI HSE M</t>
  </si>
  <si>
    <t>SE07801709211336/0000000000000000000000870602014950 BHARTI AIRTEL INTE</t>
  </si>
  <si>
    <t>3726303627/0101534022 WORLD VISION KENYA P.O BOX 56527-00200 NAIROBI</t>
  </si>
  <si>
    <t>SE07801709210384/8704023282501 PANNAR SEED (KENYA) LIMITED PO 10383P</t>
  </si>
  <si>
    <t>3726303626/0101534022 WORLD VISION KENYA P.O BOX 56527-00200 NAIROBI</t>
  </si>
  <si>
    <t>EXCISE DUTY 6146700251JS</t>
  </si>
  <si>
    <t>SE07801709211780/8708003408900 AMREF HEALTH AFRICA PO 30125P.O BOX 30</t>
  </si>
  <si>
    <t>SE07801709211784/8708003408900 AMREF HEALTH AFRICA PO 30125P.O BOX 30</t>
  </si>
  <si>
    <t>3726401253/0101119025 WORLD VISION - SOMALIA P.O BOX 56527-00200 NAIRO</t>
  </si>
  <si>
    <t>SE07801709211802/8708003408904 AMREF HEALTH AFRICA PO 30125P.O BOX 30</t>
  </si>
  <si>
    <t>SE07801709211800/8708003408904 AMREF HEALTH AFRICA PO 30125P.O BOX 30</t>
  </si>
  <si>
    <t>FT17264YLCLG/USD1455100010001 KCB CARD CENTREUSD1667.96@99.63625</t>
  </si>
  <si>
    <t>Cash Deposit                                      LINDIWE</t>
  </si>
  <si>
    <t>FT17265B92L7/6596790028 1/UNITED BSA DESIGNATED FUND LTD-NR 2/NAIROBI</t>
  </si>
  <si>
    <t>3726501253/0103306019 WARTSILA EASTERN AFRICA LTD P.O.BOX 66782 NAIROB</t>
  </si>
  <si>
    <t>3726501655/0101534022 WORLD VISION KENYA P.O BOX 56527-00200 NAIROBI</t>
  </si>
  <si>
    <t>Cheque Item deposit 106832</t>
  </si>
  <si>
    <t>SE07801709223976/8708033625700 C.R.S. USCC KENYA PROGRAM PO 49675P.O.</t>
  </si>
  <si>
    <t>6393600265FCUSD10.00@99.63625/36291188 AIDSPAN ATTN.WAMBUI MUNENE P.O.</t>
  </si>
  <si>
    <t>4429700265FCUSD10.00@99.63625/0011013809131301 AIRTEL RWANDA LIMITED K</t>
  </si>
  <si>
    <t>6393600265FCUSD2426.00@99.63625/36291188 AIDSPAN ATTN.WAMBUI MUNENE P.</t>
  </si>
  <si>
    <t>4429700265FCUSD4746.00@99.63625/0011013809131301 AIRTEL RWANDA LIMITED</t>
  </si>
  <si>
    <t>Reversal</t>
  </si>
  <si>
    <t>0839500265FCUSD19244.00@99.63625/833370001 WORLD HEALTH ORGANIZATION-W</t>
  </si>
  <si>
    <t>0839100265FCUSD4217.00@99.63625/833370001 WORLD HEALTH ORGANIZATION-WH</t>
  </si>
  <si>
    <t>International Payment Account                     OUTGOING SWIFTSW09922091700145</t>
  </si>
  <si>
    <t>Outward Payments Swift Charges USD Accts</t>
  </si>
  <si>
    <t>Excise Duty Commission</t>
  </si>
  <si>
    <t>Cash Deposit                                      dorcas</t>
  </si>
  <si>
    <t>INWARD CLEARING 106831 - 002  --</t>
  </si>
  <si>
    <t>INWARD CLEARING 106821 - 002  --</t>
  </si>
  <si>
    <t>PRESENTED INW CHQ:02020010734700:CHQ 106832</t>
  </si>
  <si>
    <t>022FT10172640006USD7600.57@99.53975/2034481523 DAIMLER COMMERCIAL VEHI</t>
  </si>
  <si>
    <t>022FT10172640039USD7844.00@99.53975/0702632498 GALLAGHER POWER FENCE S</t>
  </si>
  <si>
    <t>EXCISE DUTY 1318209261FF</t>
  </si>
  <si>
    <t>EXCISE DUTY 2017091500047189</t>
  </si>
  <si>
    <t>3726802033/0104256025 OXFAM GB P.O.BOX 40680 - 00100 NAIROBIKENYA THE</t>
  </si>
  <si>
    <t>FT17268GNTX2/6605330029 1/AUSTRALIAN HIGH COMMISSION 2/RIVERSIDE DRIVE</t>
  </si>
  <si>
    <t>FT172685VRT4/1000492244 LAWRENCE KATABARWA AND/OR LIVE P.O.BOX 373 NAI</t>
  </si>
  <si>
    <t>SE0780170925B562/8702042581600 MIH EAST AFRICA LIMITED PO 60406P O BO</t>
  </si>
  <si>
    <t>SE0780170925A869/8708003408904 AMREF HEALTH AFRICA PO 30125P.O BOX 30</t>
  </si>
  <si>
    <t>CHQ DEPOSIT NO. 505532_13.09.2017</t>
  </si>
  <si>
    <t>CHQ DEPOSIT NO. 000051_12.09.2017</t>
  </si>
  <si>
    <t>CHQ DEPOSIT NO. 500322_13.09.2017</t>
  </si>
  <si>
    <t>EXCISE DUTY4429700265FC</t>
  </si>
  <si>
    <t>EXCISE DUTY6393600265FC</t>
  </si>
  <si>
    <t>F60925215321001USD10.00@99.53975/536027048 CURE INTERNATIONAL INC 774</t>
  </si>
  <si>
    <t>SE07801709262514/8708003408900 AMREF HEALTH AFRICA PO 30125P.O BOX 30</t>
  </si>
  <si>
    <t>999ORTGS5690717/00800904411211 VALAR FRONTIER SOLUTIONS (KENYA )LI P O</t>
  </si>
  <si>
    <t>022FT10172650007USD480.00@99.53975/0227119578 FARM AFRICA STUDIO HSE 4</t>
  </si>
  <si>
    <t>F60925215321001USD6242.00@99.53975/536027048 CURE INTERNATIONAL INC 77</t>
  </si>
  <si>
    <t>CHQ DEPOSIT NO. 648_15/09/2017</t>
  </si>
  <si>
    <t>Cash Deposit                                      MAINA</t>
  </si>
  <si>
    <t>On Us Cheque Encashment                           CHQ106833</t>
  </si>
  <si>
    <t>SE07801709264260/8708033625700 C.R.S. USCC KENYA PROGRAM PO 49675P.O.</t>
  </si>
  <si>
    <t>INWARD CLEARING 106838 - 002  --</t>
  </si>
  <si>
    <t>FT17270171QG/6597680034 1/DEL.OF THE COMM.OF EUROPE COMMIS 2/CBA BUILD</t>
  </si>
  <si>
    <t>HBKG17I26O479304USD1638.00@99.6845/0304044194 CADG ENGINEERING PTE LTD</t>
  </si>
  <si>
    <t>F50926601832000USD8282.00@99.6845/NL24INGB0705454010 MINISTERIE VAN BU</t>
  </si>
  <si>
    <t>022FT10172680107USD840.00@99.6845/0702632498 GALLAGHER POWER FENCE SYS</t>
  </si>
  <si>
    <t>C189141OCP092617USD140.00@99.6845/9130000129694 1/CARGILL ZAMBIA 2009</t>
  </si>
  <si>
    <t>S0672691504001USD47746.00@99.6845/0104281014 GENERAL CONFERENCE COPROR</t>
  </si>
  <si>
    <t>F50926601832000USD10.00@99.6845/NL24INGB0705454010 MINISTERIE VAN BUIT</t>
  </si>
  <si>
    <t>EXCISE DUTY F60925215321001</t>
  </si>
  <si>
    <t>Cash Deposit                                      BENJAMIN KEMBOI</t>
  </si>
  <si>
    <t>998ORTG172700024/0131135019188736 AFRICAN UNION- IBAR ESOLT PROJECT PO</t>
  </si>
  <si>
    <t>SE07801709271928/8704003650100 WORLD VISION INT KENYA PO 50816P.O.BOX</t>
  </si>
  <si>
    <t>998ORTG172700025/0131135019188725 AU-IBAR REINFORCING ANIMAL HEALTH S</t>
  </si>
  <si>
    <t>SE07801709271926/8704003650100 WORLD VISION INT KENYA PO 50816P.O.BOX</t>
  </si>
  <si>
    <t>013RTGS172690014/0011085009126601 AFRICAN POPULATION AND HEALTH RESE P</t>
  </si>
  <si>
    <t>998ORTG172700026/0131135019188706 AU IBAR VETERNARY GOVERANCE PROJECT</t>
  </si>
  <si>
    <t>SE07801709274632/0000000000000000000000870602014950 BHARTI AIRTEL INTE</t>
  </si>
  <si>
    <t>0764900270FCUSD5707.00@99.6845/833370001 WORLD HEALTH ORGANIZATION-WHO</t>
  </si>
  <si>
    <t>chq no.516_20.09.2017</t>
  </si>
  <si>
    <t>chq no.525_20.09.2017</t>
  </si>
  <si>
    <t>chq no.514_20.09.2017</t>
  </si>
  <si>
    <t>chq no.684_20.09.2017</t>
  </si>
  <si>
    <t>3727100162/0104393023 LG ELECTRONICS AFRICA LOGISTICS FZE P.O BOX 505</t>
  </si>
  <si>
    <t>IGT00003248AMD002</t>
  </si>
  <si>
    <t>FT17271TJDLZ/6605330029 1/AUSTRALIAN HIGH COMMISSION 2/RIVERSIDE DRIVE</t>
  </si>
  <si>
    <t>013RTGS172710001/0131135019188739 AU IBAR LIVE 2 AFRICA PO BOX 30786 0</t>
  </si>
  <si>
    <t>3727102906/0103126142 POLLEN LIMITED P.O. BOX 1037 -00232 KENYA RUIRUU</t>
  </si>
  <si>
    <t>FT17271ZZMG0/USD1455100010001 KCB CARD CENTREUSD832.59@99.6845</t>
  </si>
  <si>
    <t>EXCISE DUTY F50926601832000</t>
  </si>
  <si>
    <t>RTGS through Cheque</t>
  </si>
  <si>
    <t>RTGS Corebanking Commission USD Accts</t>
  </si>
  <si>
    <t>SW09929091700047 EDMS 4072                        SW09929091700047 EDMS 4072</t>
  </si>
  <si>
    <t>chq no.268_21.09.2017</t>
  </si>
  <si>
    <t>chq no.12_21.09.2017</t>
  </si>
  <si>
    <t>RTGS through Cheque                               SW09929091700075 PR-000000004544-PR</t>
  </si>
  <si>
    <t>C383941OCP092817USD10.00@99.4915/1109162863 HIGHLIGHT TRAVEL LIMITED U</t>
  </si>
  <si>
    <t>C383941OCP092817USD850000.00@99.4915/1109162863 HIGHLIGHT TRAVEL LIMIT</t>
  </si>
  <si>
    <t>OUTGOING SWIFTSW09929091700112/PR-000000004072-PR OUTGOING SWIFTSW09929091700112/PR-000000</t>
  </si>
  <si>
    <t>INHOUSE CHQ.106832</t>
  </si>
  <si>
    <t>2345909271FFUSD9.09@99.4915/0101119033 WORLD VISION SOMALIA P.O BOX 56</t>
  </si>
  <si>
    <t>2345909271FFUSD909.00@99.4915/0101119033 WORLD VISION SOMALIA P.O BOX</t>
  </si>
  <si>
    <t>F0172710710C01USD2010.00@99.4915/1030211710002 JEAN IVES BONZI OUAGA 2</t>
  </si>
  <si>
    <t>IR07801709291738/8700248019900 BAVO EMANUEL MZEE PO 962P.O.BOX 962 00</t>
  </si>
  <si>
    <t>FT17272RHTFD/6605330029 1/AUSTRALIAN HIGH COMMISSION 2/RIVERSIDE DRIVE</t>
  </si>
  <si>
    <t>FT172721S4Q3/USD1455100010001 KCB CARD CENTREUSD1073.10@99.4915</t>
  </si>
  <si>
    <t>RTGS through Cheque                               SW09929091700244 PR-000000004797-PR</t>
  </si>
  <si>
    <t>3727204541/0101534022 WORLD VISION KENYA P.O BOX 56527-00200 NAIROBI</t>
  </si>
  <si>
    <t>Specified period (01-08-2017 - 31-08-2017)</t>
  </si>
  <si>
    <t>IR07801708010130/0100325991000 POOVASEN CHETTY PO 39764PHILIPS EA.LAN</t>
  </si>
  <si>
    <t>C469751OCP073117USD980.00@100.167/9130001796473 1/CARGILL ZAMBIA 2009</t>
  </si>
  <si>
    <t>C427317OCP073117USD1528.00@100.167/9130000129694 1/CARGILL ZAMBIA 2009</t>
  </si>
  <si>
    <t>C427317OCP073117USD10.00@100.167/9130000129694 1/CARGILL ZAMBIA 2009</t>
  </si>
  <si>
    <t>INWARD CLEARING 106733 - 002  --</t>
  </si>
  <si>
    <t>EXCISE DUTY C308628OCP072817USD10.00@100.2635/1109162863 1109162863 HIGHLIGHT TRAV</t>
  </si>
  <si>
    <t>OUTGOING SWIFT SW09901081740045SN147421/002</t>
  </si>
  <si>
    <t>2017073100060255USD7100.06@100.167/8706020920200 SAMSUNG ELECTRONICS E</t>
  </si>
  <si>
    <t>CHARGES 2017073100060255USD7100.06@100.167/8706020920200 SAMSUNG ELECTRONICS E</t>
  </si>
  <si>
    <t>EXCISE DUTY 2017073100060255USD7100.06@100.167/8706020920200 SAMSUNG ELECTRONICS E</t>
  </si>
  <si>
    <t>OUTGOING SWIFT SW09901081740505SN147544/002</t>
  </si>
  <si>
    <t>SE07801708011254/8708003408900 AMREF HEALTH AFRICA PO 30125P.O BOX 30</t>
  </si>
  <si>
    <t>094FT04172130001/2032616820 HIGHLIGHT TRAVEL LIMITED TRANS NATIONAL PL</t>
  </si>
  <si>
    <t>013RTGS172130006/0131135019188738 AU-AFRICAN INSTITUTE FOR REMITTANC P</t>
  </si>
  <si>
    <t>013RTGS172130010/0131135019188706 AU IBAR VETERNARY GOVERANCE PROJECT</t>
  </si>
  <si>
    <t>013RTGS172130005/0131135019188706 AU IBAR VETERNARY GOVERANCE PROJECT</t>
  </si>
  <si>
    <t>FT17213BKML1/0100004220018 HIGHLIGHT TRAVEL LIMITED T/A BCD P.O BOX 10</t>
  </si>
  <si>
    <t>EXCISE DUTY C427317OCP073117USD10.00@100.167/9130000129694 1/CARGILL ZAMBIA 2009</t>
  </si>
  <si>
    <t>3721302335/0103126142 POLLEN LIMITED P.O. BOX 1037 -00232 KENYA RUIRUU</t>
  </si>
  <si>
    <t>FT1721217BNB/6605330029 1/AUSTRALIAN HIGH COMMISSION 2/RIVERSIDE DRIVE</t>
  </si>
  <si>
    <t>0749700214FCUSD35328.00@100.11875/833370001 WORLD HEALTH ORGANIZATION-</t>
  </si>
  <si>
    <t>EXCISE DUTY  0749700214FCUSD35328.00@100.11875/833370001 WORLD HEALTH ORGANIZATION-</t>
  </si>
  <si>
    <t>CHARGES 0749700214FCUSD35328.00@100.11875/833370001 WORLD HEALTH ORGANIZATION-</t>
  </si>
  <si>
    <t>SE07801708022060/8708003408904 AMREF HEALTH AFRICA PO 30125P.O BOX 30</t>
  </si>
  <si>
    <t>013RTGS172140002/0131135019188721 AU- IBAR ANIMAL GENETICS PROJECT PO</t>
  </si>
  <si>
    <t>013RTGS172140004/0131135019188738 AU-AFRICAN INSTITUTE FOR REMITTANC P</t>
  </si>
  <si>
    <t>RTO15100958280/1510265538149 HIGHLIGHT TRAVEL LIMITED P.O.BOX 10141 NA</t>
  </si>
  <si>
    <t>013RTGS172140010/0131135019188706 AU IBAR VETERNARY GOVERANCE PROJECT</t>
  </si>
  <si>
    <t>013RTGS172130011/0131135019188738 AU-AFRICAN INSTITUTE FOR REMITTANC P</t>
  </si>
  <si>
    <t>Cheque deposit no.577;C.B.A Ltd Westlands Bran;</t>
  </si>
  <si>
    <t>INWARD CLEARING 106737 - 002  --</t>
  </si>
  <si>
    <t>FT17215GY0WW/1004744116 ELICON GENERAL CONTRACTORS P.O.BOX 21853 NAIRO</t>
  </si>
  <si>
    <t>SE07801708030138/0000000000000000000000870602014950 BHARTI AIRTEL INTE</t>
  </si>
  <si>
    <t>5202700214FCUSD9.85@100.11875/MUHSBC003053410122 ATOM TRAVEL SERVICE L</t>
  </si>
  <si>
    <t>013RTGS172150002/0131135019188701 AFRICAN UNION- IBAR PO BOX 30786 001</t>
  </si>
  <si>
    <t>013RTGS172150001/0131135019188736 AFRICAN UNION- IBAR ESOLT PROJECT PO</t>
  </si>
  <si>
    <t>013RTGS172150004/0131135019188725 AU-IBAR REINFORCING ANIMAL HEALTH PO</t>
  </si>
  <si>
    <t>106FT04172150001/2030576058 LILIAN BONARERI ABUGA OTUNDO LORESHO NAIRO</t>
  </si>
  <si>
    <t>005RCUS020817027/0500093007 THE  AGA KHAN UNIVERSITY HOSP.NBI CERT OF</t>
  </si>
  <si>
    <t>013RTGS172150003/0131135019188731 AU- IBAR FISH GOVERANCE PROJECT PO B</t>
  </si>
  <si>
    <t>5202700214FCUSD985.00@100.11875/MUHSBC003053410122 ATOM TRAVEL SERVICE</t>
  </si>
  <si>
    <t>S0671991AECD01USD7707.00@100.11875/0164252066 VALAR FRONTIER SOLUTIONS</t>
  </si>
  <si>
    <t>FT17215Y1TMM/0100000679733 RENAISSANCE CAPITAL(KENYA) LTD P.O BOX 4056</t>
  </si>
  <si>
    <t>013RTGS172150005/0131135019188731 AU- IBAR FISH GOVERANCE PROJECT PO B</t>
  </si>
  <si>
    <t>3721501857/0101534022 WORLD VISION KENYA P.O BOX 56527-00200 NAIROBI</t>
  </si>
  <si>
    <t>013RTGS172150007/0131135019188706 AU IBAR VETERNARY GOVERANCE PROJECT</t>
  </si>
  <si>
    <t>Encashed cheque no.106740;106740;</t>
  </si>
  <si>
    <t>Cheque deposit no.260;Citibank N.A. Head Offic;</t>
  </si>
  <si>
    <t>Cheque deposit no.259;Citibank N.A. Head Offic;</t>
  </si>
  <si>
    <t>Cheque deposit no.254302;Prime Bank Ltd Riverside;</t>
  </si>
  <si>
    <t>1373600216FCUSD10.00@100.21525/40051573447444 THE TRAVEL COMPANY LIMIT</t>
  </si>
  <si>
    <t>3721601925/0104393023 LG ELECTRONICS AFRICA LOGISTICS FZE P.O BOX 505</t>
  </si>
  <si>
    <t>FT172167KS9M/7881820049 1/WORLD WIDE FUND FOR NATURE 2/THE MVULI HSE M</t>
  </si>
  <si>
    <t>1373600216FCUSD18099.00@100.21525/40051573447444 THE TRAVEL COMPANY LI</t>
  </si>
  <si>
    <t>3721602555/0103306019 WARTSILA EASTERN AFRICA LTD P.O.BOX 66782 NAIROB</t>
  </si>
  <si>
    <t>RTO06100959982/0610267211712 GENERAL CONFERENCE OF SDA - ECD ADR P.O.B</t>
  </si>
  <si>
    <t>Encashed cheque no.106739;106739;</t>
  </si>
  <si>
    <t>013RTGS172160004/0131135019188738 AU-AFRICAN INSTITUTE FOR REMITTANC P</t>
  </si>
  <si>
    <t>CHARGES 0576200216FCUSD32511.39@100.21525/833370001 WORLD HEALTH ORGANIZATION-</t>
  </si>
  <si>
    <t>0576200216FCUSD32511.39@100.21525/833370001 WORLD HEALTH ORGANIZATION-</t>
  </si>
  <si>
    <t>EXCISE DUTY 0576200216FCUSD32511.39@100.21525/833370001 WORLD HEALTH ORGANIZATION-</t>
  </si>
  <si>
    <t>EXCISE DUTY 5202700214FCUSD9.85@100.11875/MUHSBC003053410122 ATOM TRAVEL SERVICE L</t>
  </si>
  <si>
    <t>CASH DEPOSIT;AHMED R.M M;Cash Deposit</t>
  </si>
  <si>
    <t>Encashed cheque no.106740;000000;</t>
  </si>
  <si>
    <t>106748;106748;</t>
  </si>
  <si>
    <t>Cheque deposit no.96;SCB Ltd Ukay Branch;</t>
  </si>
  <si>
    <t>Cheque deposit no.306843;BBK Ltd Payments and Int;</t>
  </si>
  <si>
    <t>Cheque deposit no.18;CFC-Stanbic Bank (K) Ltd;</t>
  </si>
  <si>
    <t>Cheque deposit no.100;BBK Ltd South C Branch;</t>
  </si>
  <si>
    <t>Cheque deposit no.36;Ecobank Ltd Westlands;</t>
  </si>
  <si>
    <t>Cheque deposit no.79;SCB Ltd Upper Hill Branc;</t>
  </si>
  <si>
    <t>-;WILLIS;-                                                            -          CASH CRE</t>
  </si>
  <si>
    <t>INWARD CLEARING 106738 - 002  --</t>
  </si>
  <si>
    <t>SE07801708073442/8708033625700 C.R.S. USCC KENYA PROGRAM PO 49675P.O.</t>
  </si>
  <si>
    <t>EXCISE DUTY 1373600216FCUSD10.00@100.21525/40051573447444 THE TRAVEL COMPANY LIMIT</t>
  </si>
  <si>
    <t>013RTGS172190003/0131135019188738 AU-AFRICAN INSTITUTE FOR REMITTANC P</t>
  </si>
  <si>
    <t>SE07801708070094/8704023282501 PANNAR SEED (KENYA) LIMITED PO 10383P</t>
  </si>
  <si>
    <t>FT17219MDFQY/6597680034 1/DEL.OF THE COMM.OF EUROPE COMMIS 2/CBA BUILD</t>
  </si>
  <si>
    <t>IR07801708041922/0101711705800 STEPHEN ODINGA OKELLO PO 67992PRICE WA</t>
  </si>
  <si>
    <t>OUTGOING RTGS SW09907081743571SN148375/002CHQNO.106741</t>
  </si>
  <si>
    <t>OUTGOING SWIFT SW09907081743581SN148278 CHQ NO.106749/002</t>
  </si>
  <si>
    <t>OUTGOING SWIFT SW09907081743597SN148277/002CHQNO.106747</t>
  </si>
  <si>
    <t>2017080400104850USD21245.45@100.167/8706020920200 SAMSUNG ELECTRONICS</t>
  </si>
  <si>
    <t>CHARGES 2017080400104850USD21245.45@100.167/8706020920200 SAMSUNG ELECTRONICS</t>
  </si>
  <si>
    <t>EXCISE DUTY 2017080400104850USD21245.45@100.167/8706020920200 SAMSUNG ELECTRONICS</t>
  </si>
  <si>
    <t>Cheque deposit no.88;BBK Ltd Queensway House;</t>
  </si>
  <si>
    <t>Cheque deposit no.2;SCB Ltd Westlands Branch;</t>
  </si>
  <si>
    <t>Cheque deposit no.54;Ecobank Ltd Westlands;</t>
  </si>
  <si>
    <t>Cheque deposit no.170;Ecobank Ltd Westlands;</t>
  </si>
  <si>
    <t>1234300221FCUSD10.00@100.31175/40051573447444 THE TRAVEL COMPANY LIMIT</t>
  </si>
  <si>
    <t>C267040OCP080717USD10.00@100.31175/1109162863 1109162863 HIGHLIGHT TRA</t>
  </si>
  <si>
    <t>G0172191672901USD7.22@100.31175/AE500211000000100849011 CHINA SOUTHERN</t>
  </si>
  <si>
    <t>2017080800032120USD7.06@100.31175/083088903788142 441638701 BAREFOOT T</t>
  </si>
  <si>
    <t>2017080800032120USD706.00@100.31175/083088903788142 441638701 BAREFOOT</t>
  </si>
  <si>
    <t>G0172191672901USD722.00@100.31175/AE500211000000100849011 CHINA SOUTHE</t>
  </si>
  <si>
    <t>1234300221FCUSD1255.00@100.31175/40051573447444 THE TRAVEL COMPANY LIM</t>
  </si>
  <si>
    <t>3721901000USD4307.00@100.31175/0104399040 AFRICAN TRADE INSURANCE AGEN</t>
  </si>
  <si>
    <t>C267040OCP080717USD500000.00@100.31175/1109162863 1109162863 HIGHLIGHT</t>
  </si>
  <si>
    <t>FT17221K42SR/6596790028 1/UNITED BSA DESIGNATED FUND LTD-NR 2/NAIROBI</t>
  </si>
  <si>
    <t>FT17221C49XY/6605330029 1/AUSTRALIAN HIGH COMMISSION 2/RIVERSIDE DRIVE</t>
  </si>
  <si>
    <t>EXCISE DUTY 0450500221FCUSD16886.00@100.31175/833370001 WORLD HEALTH ORGANIZATION-</t>
  </si>
  <si>
    <t>0450500221FCUSD16886.00@100.31175/833370001 WORLD HEALTH ORGANIZATION-</t>
  </si>
  <si>
    <t>FT17221MZ0NP/6506620037 STELLA NAMBUSWA SIMIYU P.O. BOX 9500 NAIROBIUS</t>
  </si>
  <si>
    <t>EXCISE DUTY C267040OCP080717USD500000.00@100.31175/1109162863 1109162863 HIGHLIGHT</t>
  </si>
  <si>
    <t>Cheque deposit no.321;Ecobank Ltd Westlands;</t>
  </si>
  <si>
    <t>Cheque deposit no.45;Equity Bank Ltd Ongata R;</t>
  </si>
  <si>
    <t>Cheque deposit no.46;Equity Bank Ltd Ongata R;</t>
  </si>
  <si>
    <t>Cheque deposit no.89;C.B.A Ltd Galleria Mall;</t>
  </si>
  <si>
    <t>Cheque deposit no.92;BBK Ltd Queensway House;</t>
  </si>
  <si>
    <t>EXCISE DUTY G0172191672901USD722.00@100.31175/AE500211000000100849011 CHINA SOUTHE</t>
  </si>
  <si>
    <t>EXCISE DUTY 2017080800032120USD706.00@100.31175/083088903788142 441638701 BAREFOOT</t>
  </si>
  <si>
    <t>EXCISE DUTY 1234300221FCUSD1255.00@100.31175/40051573447444 THE TRAVEL COMPANY LIM</t>
  </si>
  <si>
    <t>HBKG17H10O461663USD124.00@100.167/0304044194 CADG ENGINEERING PTE LTD</t>
  </si>
  <si>
    <t>0235000223FCUSD3751.00@100.167/833370001 WORLD HEALTH ORGANIZATION-WHO</t>
  </si>
  <si>
    <t>EXCISE DUTY 0235000223FCUSD3751.00@100.167/833370001 WORLD HEALTH ORGANIZATION-WHO</t>
  </si>
  <si>
    <t>013RTGS172230001/0131135019188701 AFRICAN UNION- IBAR PO BOX 30786 001</t>
  </si>
  <si>
    <t>C625645OCP081117USD340.00@100.167/9130001796473 1/CARGILL ZAMBIA 2009</t>
  </si>
  <si>
    <t>013RTGS172220003/0131135019188706 AU IBAR VETERNARY GOVERANCE PROJECT</t>
  </si>
  <si>
    <t>013RTGS172220002/0131135019188706 AU IBAR VETERNARY GOVERANCE PROJECT</t>
  </si>
  <si>
    <t>3722600542/0101534022 WORLD VISION KENYA P.O BOX 56527-00200 NAIROBI</t>
  </si>
  <si>
    <t>013RTGS172260006/0011085009126601 AFRICAN POPULATION AND HEALTH RESE P</t>
  </si>
  <si>
    <t>SE07801708150518/8704003650100 WORLD VISION INT KENYA PO 50816P.O.BOX</t>
  </si>
  <si>
    <t>SE07801708150520/8704003650100 WORLD VISION INT KENYA PO 50816P.O.BOX</t>
  </si>
  <si>
    <t>SE07801708150516/8704003650100 WORLD VISION INT KENYA PO 50816P.O.BOX</t>
  </si>
  <si>
    <t>IGT00004398CAN001</t>
  </si>
  <si>
    <t>Cash withdrawal;                                                 ;    TELLER 6</t>
  </si>
  <si>
    <t>OUTGOING RTGS SW09915081745743SN148928 CHQ NO 106771/002</t>
  </si>
  <si>
    <t>Bank commision  RTGS Commission on  Account</t>
  </si>
  <si>
    <t>Foreign  Currency Transaction</t>
  </si>
  <si>
    <t>OUTGOING RTGS SW09915081745719SN148927 CHQ NO 106770/002</t>
  </si>
  <si>
    <t>INWARD CLEARING 106773 - 002  --</t>
  </si>
  <si>
    <t>SE07801708160868/8708003408904 AMREF HEALTH AFRICA PO 30125P.O BOX 30</t>
  </si>
  <si>
    <t>PET418449228USD472.00@99.974/GB70BARC20274143438627 MISHECK JULIAN NKH</t>
  </si>
  <si>
    <t>0178700228FCUSD970.00@99.974/833370001 WORLD HEALTH ORGANIZATION-WHO H</t>
  </si>
  <si>
    <t>EXCISE DUTY 0178700228FCUSD970.00@99.974/833370001 WORLD HEALTH ORGANIZATION-WHO H</t>
  </si>
  <si>
    <t>Cheque deposit no.254307;Prime Bank Ltd Riverside;</t>
  </si>
  <si>
    <t>Cheque deposit no.169;Ecobank Ltd Westlands;</t>
  </si>
  <si>
    <t>Cheque deposit no.497;SCB Ltd Upper Hill Branc;</t>
  </si>
  <si>
    <t>Cheque deposit no.491;SCB Ltd Upper Hill Branc;</t>
  </si>
  <si>
    <t>Cheque deposit no.109784;SCB Ltd Upper Hill Branc;</t>
  </si>
  <si>
    <t>Cheque deposit no.498;SCB Ltd Upper Hill Branc;</t>
  </si>
  <si>
    <t>F50816620269000USD7064.40@99.974/NL24INGB0705454010 MINISTERIE VAN BUI</t>
  </si>
  <si>
    <t>F50816620269000USD10.00@99.974/NL24INGB0705454010 MINISTERIE VAN BUITE</t>
  </si>
  <si>
    <t>SE07801708170446/8702042581600 MIH EAST AFRICA LIMITED PO 60406P O BO</t>
  </si>
  <si>
    <t>3722900205/0101952029 WORLD WIDE FUND FOR NATURE P.O.BOX 62440 - 00200</t>
  </si>
  <si>
    <t>SE07801708171026/0000000000000000000000870602014950 BHARTI AIRTEL INTE</t>
  </si>
  <si>
    <t>Encashed cheque no.106764;106764;</t>
  </si>
  <si>
    <t>0;MAINA;Cash Deposit</t>
  </si>
  <si>
    <t>FT17227L0KWC1/AFRICAN AGRICULTURAL TEC.</t>
  </si>
  <si>
    <t>Cheque deposit no.51;I &amp; M Bank Ltd 2nd Ngong;</t>
  </si>
  <si>
    <t>EXCISE DUTY F50816620269000USD7064.40@99.974/NL24INGB0705454010 MINISTERIE VAN BUI</t>
  </si>
  <si>
    <t>INWARD CLEARING 106765 - 002  --</t>
  </si>
  <si>
    <t>INWARD CLEARING 106772 - 002  --</t>
  </si>
  <si>
    <t>2017081700042894USD7824.87@99.73275/8706020920200 SAMSUNG ELECTRONICS</t>
  </si>
  <si>
    <t>EXCISE DUTY 2017081700042894USD7824.87@99.73275/8706020920200 SAMSUNG ELECTRONICS</t>
  </si>
  <si>
    <t>0612100230FCUSD180.00@99.73275/833370001 WORLD HEALTH ORGANIZATION-WHO</t>
  </si>
  <si>
    <t>EXCISE DUTY 0612100230FCUSD180.00@99.73275/833370001 WORLD HEALTH ORGANIZATION-WHO</t>
  </si>
  <si>
    <t>FT17230313XQ/6605330029 1/AUSTRALIAN HIGH COMMISSION 2/RIVERSIDE DRIVE</t>
  </si>
  <si>
    <t>SE07801708182222/8708033625700 C.R.S. USCC KENYA PROGRAM PO 49675P.O.</t>
  </si>
  <si>
    <t>Cheque deposit no.262;Citibank N.A. Head Offic;</t>
  </si>
  <si>
    <t>Cheque deposit no.261;Citibank N.A. Head Offic;</t>
  </si>
  <si>
    <t>AHMED R.M. MOHAMED;AHMED R.M. MOHAMED;Cash Deposit</t>
  </si>
  <si>
    <t>998ORTG172330029/0131135019188725 AU-IBAR REINFORCING ANIMAL HEALTH S</t>
  </si>
  <si>
    <t>FT17233NG3X4/1003338556 BERNADETTE NDUNGE MUUTU P.O. BOX 74020 NAIROBI</t>
  </si>
  <si>
    <t>FT17233FFMB7/6487840028 KATHARINE JANE DOWNIE P.O BOX 143 NAIROBIUSD13</t>
  </si>
  <si>
    <t>998ORTG172330006/0131135019188729 AU IBAR IMPROVING ANIMAL DISEASE SU</t>
  </si>
  <si>
    <t>998ORTG172330022/0131135019188723 AU- IBAR BEE MANAGEMENT PROJECT PO B</t>
  </si>
  <si>
    <t>SE07801708210818/8708003408904 AMREF HEALTH AFRICA PO 30125P.O BOX 30</t>
  </si>
  <si>
    <t>998ORTG172330023/0131135019188729 AU IBAR IMPROVING ANIMAL DISEASE SU</t>
  </si>
  <si>
    <t>998ORTG172330010/0131135019188731 AU- IBAR FISH GOVERANCE PROJECT PO B</t>
  </si>
  <si>
    <t>998ORTG172330031/0131135019188731 AU- IBAR FISH GOVERANCE PROJECT PO B</t>
  </si>
  <si>
    <t>998ORTG172330027/0131135019188721 AU- IBAR ANIMAL GENETICS PROJECT PO</t>
  </si>
  <si>
    <t>C369202OCP081817USD1490.00@99.53975/9130001344238 1/NESTLE ZAMBIA TRAD</t>
  </si>
  <si>
    <t>3818500233FCUSD307.00@99.53975/36291188 AIDSPAN ATTN.WAMBUI MUNENE P.O</t>
  </si>
  <si>
    <t>0763609230FFUSD7630.00@99.53975/0101119033 WORLD VISION SOMALIA P.O BO</t>
  </si>
  <si>
    <t>0763209230FFUSD10342.00@99.53975/0101119033 WORLD VISION SOMALIA P.O B</t>
  </si>
  <si>
    <t>0763209230FFUSD10.00@99.53975/0101119033 WORLD VISION SOMALIA P.O BOX</t>
  </si>
  <si>
    <t>0763609230FFUSD10.00@99.53975/0101119033 WORLD VISION SOMALIA P.O BOX</t>
  </si>
  <si>
    <t>3818500233FCUSD4.00@99.53975/36291188 AIDSPAN ATTN.WAMBUI MUNENE P.O.</t>
  </si>
  <si>
    <t>.;HIGHLIGHT TRAVEL;Cash Deposit</t>
  </si>
  <si>
    <t>FT17233H325W/USD1455100010001 KCB CARD CENTERUSD93.10@99.53975</t>
  </si>
  <si>
    <t>FT1723309QGM/0100000199111 WORLD ORG.OF THE SCOUT MOVEMENT- P O BOX 63</t>
  </si>
  <si>
    <t>OUTGOING RTGS SW09921081748592PRI-0000000227-PRI</t>
  </si>
  <si>
    <t>EXCISE DUTY 0763609230FFUSD7630.00@99.53975/0101119033 WORLD VISION SOMALIA P.O BO</t>
  </si>
  <si>
    <t>EXCISE DUTY 0763209230FFUSD10342.00@99.53975/0101119033 WORLD VISION SOMALIA P.O B</t>
  </si>
  <si>
    <t>EXCISE DUTY 3818500233FCUSD307.00@99.53975/36291188 AIDSPAN ATTN.WAMBUI MUNENE P.O</t>
  </si>
  <si>
    <t>INWARD CLEARING 106742 - 002  --</t>
  </si>
  <si>
    <t>3723300393USD20.00@99.395/0104479021 KCSSA EAST AFRICA LIMITED P O BOX</t>
  </si>
  <si>
    <t>HBKG17H21O465274USD2435.00@99.395/0304044194 CADG ENGINEERING PTE LTD</t>
  </si>
  <si>
    <t>2017082100049585USD4381.52@99.395/8706020920201 SAMSUNG ELECTRONICS EA</t>
  </si>
  <si>
    <t>EXCISE DUTY 2017082100049585USD4381.52@99.395/8706020920201 SAMSUNG ELECTRONICS EA</t>
  </si>
  <si>
    <t>3723401125/0104256025 OXFAM GB P.O.BOX 40680 - 00100 NAIROBIKENYA THE</t>
  </si>
  <si>
    <t>FT17234HL113/0100003492804 ROBERT BOSCH EAST AFRICA LIMITED P.O BOX 85</t>
  </si>
  <si>
    <t>FT172348ZLYF/0100003492804 ROBERT BOSCH EAST AFRICA LIMITED P.O BOX 85</t>
  </si>
  <si>
    <t>FT17234PGH3T/0100003492804 ROBERT BOSCH EAST AFRICA LIMITED P.O BOX 85</t>
  </si>
  <si>
    <t>FT17234X049N/0100003492804 ROBERT BOSCH EAST AFRICA LIMITED P.O BOX 85</t>
  </si>
  <si>
    <t>FT1723485ZBH/0100003492804 ROBERT BOSCH EAST AFRICA LIMITED P.O BOX 85</t>
  </si>
  <si>
    <t>FT17234SNHS5/0100003492804 ROBERT BOSCH EAST AFRICA LIMITED P.O BOX 85</t>
  </si>
  <si>
    <t>FT17234DLS7K/0100003492804 ROBERT BOSCH EAST AFRICA LIMITED P.O BOX 85</t>
  </si>
  <si>
    <t>FT17234C64QD/0100003492804 ROBERT BOSCH EAST AFRICA LIMITED P.O BOX 85</t>
  </si>
  <si>
    <t>FT1723474H81/0100003492804 ROBERT BOSCH EAST AFRICA LIMITED P.O BOX 85</t>
  </si>
  <si>
    <t>FT17234XN72D/0100003492804 ROBERT BOSCH EAST AFRICA LIMITED P.O BOX 85</t>
  </si>
  <si>
    <t>FT17234L6TKZ/0100003492804 ROBERT BOSCH EAST AFRICA LIMITED P.O BOX 85</t>
  </si>
  <si>
    <t>FT172341R8SG/0100003492804 ROBERT BOSCH EAST AFRICA LIMITED P.O BOX 85</t>
  </si>
  <si>
    <t>FT172346HQGY/0100003492804 ROBERT BOSCH EAST AFRICA LIMITED P.O BOX 85</t>
  </si>
  <si>
    <t>FT17234ZZHWW/0100003492804 ROBERT BOSCH EAST AFRICA LIMITED P.O BOX 85</t>
  </si>
  <si>
    <t>FT17234T6WLC/0100003492804 ROBERT BOSCH EAST AFRICA LIMITED P.O BOX 85</t>
  </si>
  <si>
    <t>FT17234RRWKR/0100003492804 ROBERT BOSCH EAST AFRICA LIMITED P.O BOX 85</t>
  </si>
  <si>
    <t>FT17234ZQDB3/0100003492804 ROBERT BOSCH EAST AFRICA LIMITED P.O BOX 85</t>
  </si>
  <si>
    <t>FT17234X2W5C/0100003492804 ROBERT BOSCH EAST AFRICA LIMITED P.O BOX 85</t>
  </si>
  <si>
    <t>FT17234X35L6/0100003492804 ROBERT BOSCH EAST AFRICA LIMITED P.O BOX 85</t>
  </si>
  <si>
    <t>FT1723424SCL/0100003492804 ROBERT BOSCH EAST AFRICA LIMITED P.O BOX 85</t>
  </si>
  <si>
    <t>3722904240/0101534022 WORLD VISION KENYA P.O BOX 56527-00200 NAIROBI</t>
  </si>
  <si>
    <t>FT17234CD73J/6596790028 1/UNITED BSA DESIGNATED FUND LTD-NR 2/NAIROBI</t>
  </si>
  <si>
    <t>Cheque deposit no.302622;BBK Ltd Payments and Int;</t>
  </si>
  <si>
    <t>Cheque deposit no.500313;Ecobank Ltd Fedha Towers;</t>
  </si>
  <si>
    <t>SE07801708231062/8708003408904 AMREF HEALTH AFRICA PO 30125P.O BOX 30</t>
  </si>
  <si>
    <t>CHQ NO. B.O. HIGHLIGHT TRAVEL IFO KAMIL TRAVEL LTD</t>
  </si>
  <si>
    <t>0510800235FCUSD18409.00@99.53975/833370001 WORLD HEALTH ORGANIZATION-W</t>
  </si>
  <si>
    <t>EXCISE DUTY 0510800235FCUSD18409.00@99.53975/833370001 WORLD HEALTH ORGANIZATION-W</t>
  </si>
  <si>
    <t>3723501240/0101952339 WORLD WIDE FUND FOR NATURE P.O.BOX 62440 - 00200</t>
  </si>
  <si>
    <t>998ORTG172350014/0131135019188703 AU IBAR ADMIN COST PO BOX 30786 0010</t>
  </si>
  <si>
    <t>998ORTG172350017/0131135019188731 AU- IBAR FISH GOVERANCE PROJECT PO B</t>
  </si>
  <si>
    <t>998ORTG172350013/0131135019188703 AU IBAR ADMIN COST PO BOX 30786 0010</t>
  </si>
  <si>
    <t>3723503080/0101119025 WORLD VISION - SOMALIA P.O BOX 56527-00200 NAIRO</t>
  </si>
  <si>
    <t>998ORTG172350065/0131135019188706 AU IBAR VETERNARY GOVERANCE PROJECT</t>
  </si>
  <si>
    <t>FT17234CG7RQ1/AFRICAN AGRICULTURAL TEC.</t>
  </si>
  <si>
    <t>Cheque deposit no.680;N.I.C Bank Ltd The Junct;</t>
  </si>
  <si>
    <t>Cheque deposit no.174;Ecobank Ltd Westlands;</t>
  </si>
  <si>
    <t>INWARD CLEARING 106753 - 002  --</t>
  </si>
  <si>
    <t>C664422OCP082317USD10.00@99.53975/1109162863 1109162863/ HIGHLIGHT TRA</t>
  </si>
  <si>
    <t>C664422OCP082317USD550000.00@99.53975/1109162863 1109162863/ HIGHLIGHT</t>
  </si>
  <si>
    <t>3723600670/0103306019 WARTSILA EASTERN AFRICA LTD P.O.BOX 66782 NAIROB</t>
  </si>
  <si>
    <t>FT17236HVQ05/7881820049 1/WORLD WIDE FUND FOR NATURE 2/THE MVULI HSE M</t>
  </si>
  <si>
    <t>FT17236S97L5/USD1455100010001 KCB CARD CENTERUSD1525.86@99.53975</t>
  </si>
  <si>
    <t>999ORTGS4907317/00800904411211 VALAR FRONTIER SOLUTIONS (KENYA )LI P O</t>
  </si>
  <si>
    <t>SE07801708243660/8704023282501 PANNAR SEED (KENYA) LIMITED PO 10383P</t>
  </si>
  <si>
    <t>998ORTG172360062/0131135019188723 AU- IBAR BEE MANAGEMENT PROJECT PO B</t>
  </si>
  <si>
    <t>Cheque deposit no.2398;KCB Ltd U.N. Gigiri;</t>
  </si>
  <si>
    <t>Encashed cheque no.106761;106761;</t>
  </si>
  <si>
    <t>3723704030/0104256025 OXFAM GB P.O.BOX 40680 - 00100 NAIROBIKENYA THE</t>
  </si>
  <si>
    <t>3723706684/0101534022 WORLD VISION KENYA P.O BOX 56527-00200 NAIROBI</t>
  </si>
  <si>
    <t>FT17237SQHPY/6605330029 1/AUSTRALIAN HIGH COMMISSION 2/RIVERSIDE DRIVE</t>
  </si>
  <si>
    <t>998ORTG172370033/0131135019188721 AU- IBAR ANIMAL GENETICS PROJECT PO</t>
  </si>
  <si>
    <t>998ORTG172370032/0131135019188731 AU- IBAR FISH GOVERANCE PROJECT PO B</t>
  </si>
  <si>
    <t>998ORTG172370038/0131135019188706 AU IBAR VETERNARY GOVERANCE PROJECT</t>
  </si>
  <si>
    <t>998ORTG172370005/0131135019188706 AU IBAR VETERNARY GOVERANCE PROJECT</t>
  </si>
  <si>
    <t>Encashed cheque no.106774;106774;</t>
  </si>
  <si>
    <t>EXCISE DUTY C664422OCP082317USD550000.00@99.53975/1109162863 1109162863/ HIGHLIGHT</t>
  </si>
  <si>
    <t>R/ECBA  CHQ 1425 POSTED TWICE WITH DIFFRENT AMOUNT ON 22/7/14</t>
  </si>
  <si>
    <t>OUTGOING RTGS SW09925081750932EDMS 199</t>
  </si>
  <si>
    <t>Encashed cheque no.106779;106779;</t>
  </si>
  <si>
    <t>DNB0029001/02100061719100 FRANCISCA KANYIVA MUINDI P.O. BOX 10787 NAIR</t>
  </si>
  <si>
    <t>0549400237FCUSD20698.00@99.588/833370001 WORLD HEALTH ORGANIZATION-WHO</t>
  </si>
  <si>
    <t>EXCISE DUTY 0549400237FCUSD20698.00@99.588/833370001 WORLD HEALTH ORGANIZATION-WHO</t>
  </si>
  <si>
    <t>Cheque deposit no.658;CFC-Stanbic Bank (K) Ltd;</t>
  </si>
  <si>
    <t>Cheque deposit no.47;Equity Bank Ltd Ongata R;</t>
  </si>
  <si>
    <t>Cheque deposit no.131;SCB Ltd Kenyatta Avenue;</t>
  </si>
  <si>
    <t>INWARD CLEARING 106746 - 002  --</t>
  </si>
  <si>
    <t>INWARD CLEARING 106776 - 002  --</t>
  </si>
  <si>
    <t>SE07801708280924/8708033625700 C.R.S. USCC KENYA PROGRAM PO 49675P.O.</t>
  </si>
  <si>
    <t>OUTGOING SWIFT SW09928081751408EDMS 298 CHQ NO.106778</t>
  </si>
  <si>
    <t>2017082500047064USD6098.51@99.4915/8706020920200 SAMSUNG ELECTRONICS E</t>
  </si>
  <si>
    <t>EXCISE DUTY 2017082500047064USD6098.51@99.4915/8706020920200 SAMSUNG ELECTRONICS E</t>
  </si>
  <si>
    <t>998ORTG172400015/0131135019188721 AU- IBAR ANIMAL GENETICS PROJECT PO</t>
  </si>
  <si>
    <t>013RTGS172400008/0131135019188739 AU IBAR LIVE 2 AFRICA PO BOX 30786 0</t>
  </si>
  <si>
    <t>998ORTG172400003/0131135019188703 AU IBAR ADMIN COST PO BOX 30786 0010</t>
  </si>
  <si>
    <t>998ORTG172400009/0131135019188731 AU- IBAR FISH GOVERANCE PROJECT PO B</t>
  </si>
  <si>
    <t>998ORTG172400026/0131135019188723 AU- IBAR BEE MANAGEMENT PROJECT PO B</t>
  </si>
  <si>
    <t>Cheque deposit no.1704;KCB Ltd Moi Avenue Nairo;</t>
  </si>
  <si>
    <t>Cheque deposit no.421;SCB Ltd Kenyatta Avenue;</t>
  </si>
  <si>
    <t>S0672402202D01USD876.00@99.4915/0164252066 VALAR FRONTIER SOLUTIONS SU</t>
  </si>
  <si>
    <t>FT172407J128/USD1455100010001 KCB CARD CENTREUSD191.10@99.4915</t>
  </si>
  <si>
    <t>EXCISE DUTY 2017082900047147USD26473.99@99.4915/8706020920200 SAMSUNG ELECTRONICS</t>
  </si>
  <si>
    <t>2017082900047147USD26473.99@99.4915/8706020920200 SAMSUNG ELECTRONICS</t>
  </si>
  <si>
    <t>022FT10172370009USD365.00@99.4915/0227119578 FARM AFRICA STUDIO HSE 4T</t>
  </si>
  <si>
    <t>FT172411DW5T/6426970023 1/ASSOCIATED PRESS 2/CVS PLAZA 4TH FLOOR LENAN</t>
  </si>
  <si>
    <t>3724102793/0103126142 POLLEN LIMITED P.O. BOX 1037 -00232 KENYA RUIRUU</t>
  </si>
  <si>
    <t>3724102969/0101119025 WORLD VISION - SOMALIA P.O BOX 56527-00200 NAIRO</t>
  </si>
  <si>
    <t>3724102911/0101534022 WORLD VISION KENYA P.O BOX 56527-00200 NAIROBI</t>
  </si>
  <si>
    <t>OUTGOING SWIFT SW09929081752726PR-000000000558-PR</t>
  </si>
  <si>
    <t>FT17240829SG1/AFRICAN AGRICULTURAL TEC.</t>
  </si>
  <si>
    <t>OUTGOING SWIFY SW09929081752752PR-000000000557-PR</t>
  </si>
  <si>
    <t>3724103729/0103125014 PHILIPS EAST AFRICA LIMITED P.O. BOX 39764-00623</t>
  </si>
  <si>
    <t>Cheque deposit no.94;BBK Ltd Queensway House;</t>
  </si>
  <si>
    <t>Cheque deposit no.264;N.I.C Bank Ltd The Junct;</t>
  </si>
  <si>
    <t>INWARD CLEARING 106757 - 002  --</t>
  </si>
  <si>
    <t>1412309241FFUSD8.24@99.4915/0101119033 WORLD VISION SOMALIA P.O BOX 56</t>
  </si>
  <si>
    <t>C352834OCP082917USD440.00@99.4915/9130000129694 1/CARGILL ZAMBIA 2009</t>
  </si>
  <si>
    <t>1412309241FFUSD824.00@99.4915/0101119033 WORLD VISION SOMALIA P.O BOX</t>
  </si>
  <si>
    <t>C355315OCP082917USD2594.00@99.4915/9130000129694 1/CARGILL ZAMBIA 2009</t>
  </si>
  <si>
    <t>S06724101C4D01USD20670.00@99.4915/0104281014 GENERAL CONFERENCE COPROR</t>
  </si>
  <si>
    <t>0336600242FCUSD12465.00@99.4915/833370001 WORLD HEALTH ORGANIZATION-WH</t>
  </si>
  <si>
    <t>EXCISE DUTY 0336600242FCUSD12465.00@99.4915/833370001 WORLD HEALTH ORGANIZATION-WH</t>
  </si>
  <si>
    <t>077FT04172420076/0227320133 INDUSTRIAL PROMOTION SERVICES (KENY LR NO.</t>
  </si>
  <si>
    <t>SE07801708302312/8708003408904 AMREF HEALTH AFRICA PO 30125P.O BOX 30</t>
  </si>
  <si>
    <t>SE07801708302316/8708003408904 AMREF HEALTH AFRICA PO 30125P.O BOX 30</t>
  </si>
  <si>
    <t>3724202590/0104393023 LG ELECTRONICS AFRICA LOGISTICS FZE P.O BOX 505</t>
  </si>
  <si>
    <t>013RTGS172420003/0131135019188738 AU-AFRICAN INSTITUTE FOR REMITTANC P</t>
  </si>
  <si>
    <t>Cheque deposit no.2400;KCB Ltd U.N. Gigiri;</t>
  </si>
  <si>
    <t>Cheque deposit no.254312;Prime Bank Ltd Riverside;</t>
  </si>
  <si>
    <t>SALES;DORCAS;                                                         CASH CREDIT</t>
  </si>
  <si>
    <t>3724300250/0104220029 AMADEUS GLOBAL TRAVEL DISTRIBUTION P.O.BOX 6680</t>
  </si>
  <si>
    <t>3724300213/0104220029 AMADEUS GLOBAL TRAVEL DISTRIBUTION P.O.BOX 6680</t>
  </si>
  <si>
    <t>FT17243DDWQT/0100000679733 RENAISSANCE CAPITAL(KENYA) LTD P.O BOX 4056</t>
  </si>
  <si>
    <t>998ORTG172430031/0131135019188701 AFRICAN UNION- IBAR PO BOX 30786 001</t>
  </si>
  <si>
    <t>998ORTG172430032/0131135019188736 AFRICAN UNION- IBAR ESOLT PROJECT PO</t>
  </si>
  <si>
    <t>FT17243YW2H4/USD1455100010001 KCB CARD CENTREUSD1498.42@99.44325</t>
  </si>
  <si>
    <t>FT17243XV5SK/6605330029 1/AUSTRALIAN HIGH COMMISSION 2/RIVERSIDE DRIVE</t>
  </si>
  <si>
    <t>998ORTG172430033/0131135019188706 AU IBAR VETERNARY GOVERANCE PROJECT</t>
  </si>
  <si>
    <t>SW09931081754562 OUTGOING RTGSPR-000000000958-PR</t>
  </si>
  <si>
    <t>OUTGOING RTGS SW09931081754554PR-000000000961-PR</t>
  </si>
  <si>
    <t>2017083100050243USD2478.73@99.44325/8706020920200 SAMSUNG ELECTRONICS</t>
  </si>
  <si>
    <t>EXCISE DUTY 2017083100050243USD2478.73@99.44325/8706020920200 SAMSUNG ELECTRONICS</t>
  </si>
  <si>
    <t>FT17243W3ZDRCADBURY KENYA LIMITED</t>
  </si>
  <si>
    <t>OUTGOING SWIFT SW099310817546748PR-000000001001-PR</t>
  </si>
  <si>
    <t>Cheque deposit no.1825;KCB Ltd Kitengela Branch;</t>
  </si>
  <si>
    <t>Cheque deposit no.1826;KCB Ltd Kitengela Branch;</t>
  </si>
  <si>
    <t>Cheque deposit no.511;SCB Ltd Upper Hill Branc;</t>
  </si>
  <si>
    <t>Cheque deposit no.512;SCB Ltd Upper Hill Branc;</t>
  </si>
  <si>
    <t>Cheque deposit no.502;SCB Ltd Upper Hill Branc;</t>
  </si>
  <si>
    <t>Cheque deposit no.506;SCB Ltd Upper Hill Branc;</t>
  </si>
  <si>
    <t>Cheque deposit no.509;SCB Ltd Upper Hill Branc;</t>
  </si>
  <si>
    <t>Cheque deposit no.508;SCB Ltd Upper Hill Branc;</t>
  </si>
  <si>
    <t>Cheque deposit no.503;SCB Ltd Upper Hill Branc;</t>
  </si>
  <si>
    <t>Cheque deposit no.505;SCB Ltd Upper Hill Branc;</t>
  </si>
  <si>
    <t>Cheque deposit no.504;SCB Ltd Upper Hill Branc;</t>
  </si>
  <si>
    <t>Cheque deposit no.10018;NBK Ltd South C Red Cros;</t>
  </si>
  <si>
    <t>Cheque deposit no.507;SCB Ltd Upper Hill Branc;</t>
  </si>
  <si>
    <t>Specified period (01-10-2017 - 31-10-2017)</t>
  </si>
  <si>
    <t>EXCISE DUTY C383941OCP092817</t>
  </si>
  <si>
    <t>EXCISE DUTY 2345909271FF</t>
  </si>
  <si>
    <t>FT17272VF0KSCADBURY KENYA LIMITED</t>
  </si>
  <si>
    <t>998ORTG172750018/0131135019188701 AFRICAN UNION- IBAR PO BOX 30786 001</t>
  </si>
  <si>
    <t>SE07801710020224/8704003650100 WORLD VISION INT KENYA PO 50816P.O.BOX</t>
  </si>
  <si>
    <t>SE07801710020226/8704003650100 WORLD VISION INT KENYA PO 50816P.O.BOX</t>
  </si>
  <si>
    <t>SE07801710020228/8704003650100 WORLD VISION INT KENYA PO 50816P.O.BOX</t>
  </si>
  <si>
    <t>On Us Cheque Encashment                           CHQ106848-JAMES MUGWANDIA</t>
  </si>
  <si>
    <t>998ORTG172750012/0131135019188701 AFRICAN UNION- IBAR PO BOX 30786 001</t>
  </si>
  <si>
    <t>998ORTG172750013/0131135019188736 AFRICAN UNION- IBAR ESOLT PROJECT PO</t>
  </si>
  <si>
    <t>998ORTG172750015/0131135019188731 AU- IBAR FISH GOVERANCE PROJECT PO B</t>
  </si>
  <si>
    <t>SE07801710020222/8704003650100 WORLD VISION INT KENYA PO 50816P.O.BOX</t>
  </si>
  <si>
    <t>SE07801710021476/8708033625700 C.R.S. USCC KENYA PROGRAM PO 49675P.O.</t>
  </si>
  <si>
    <t>r/e INHOUSE CHQ.106832_29.9.2017</t>
  </si>
  <si>
    <t>FT17275VR9LS/0100000679733 RENAISSANCE CAPITAL(KENYA) LTD P.O BOX 4056</t>
  </si>
  <si>
    <t>3727502912/0104220029 AMADEUS GLOBAL TRAVEL DISTRIBUTION P.O.BOX 6680</t>
  </si>
  <si>
    <t>OUTGOING SWIFT SW09902101700274/PR-000000004953-PROUTGOING SWIFT SW09902101700274/PR-00000</t>
  </si>
  <si>
    <t>CHQ NO.1933_25.09.2017</t>
  </si>
  <si>
    <t>CHQ NO.7_25.09.2017</t>
  </si>
  <si>
    <t>CHQ NO.302694_25.09.2017</t>
  </si>
  <si>
    <t>INWARD CLEARING 106845 - 002  --</t>
  </si>
  <si>
    <t>0536609275EZUSD10.00@99.4915/1000010550068 INTERNET SOCIETY MAIN ACCOU</t>
  </si>
  <si>
    <t>0536609275EZUSD6075.00@99.4915/1000010550068 INTERNET SOCIETY MAIN ACC</t>
  </si>
  <si>
    <t>3727600485/0104220029 AMADEUS GLOBAL TRAVEL DISTRIBUTION P.O.BOX 6680</t>
  </si>
  <si>
    <t>Cash Deposit                                      BENJAMIN KEMBOI OPICHO</t>
  </si>
  <si>
    <t>2017100200061944USD5253.49@99.4915/8706020920200 SAMSUNG ELECTRONICS E</t>
  </si>
  <si>
    <t>2017100200062268USD8818.87@99.4915/8706020920200 SAMSUNG ELECTRONICS E</t>
  </si>
  <si>
    <t>013RTGS172760009/0131135019188739 AU IBAR LIVE 2 AFRICA PO BOX 30786 0</t>
  </si>
  <si>
    <t>Cash Deposit                                      B.OLOO</t>
  </si>
  <si>
    <t>F51003596032000USD3119.00@99.63625/NL24INGB0705454010 MINISTERIE VAN B</t>
  </si>
  <si>
    <t>5209100276FCUSD646.00@99.63625/1361329674 RISK AND STRATEGIC MANAGEMEN</t>
  </si>
  <si>
    <t>SE07801710041574/8708003408900 AMREF HEALTH AFRICA PO 30125P.O BOX 30</t>
  </si>
  <si>
    <t>FT17277XVC1P/7881820049 1/WORLD WIDE FUND FOR NATURE 2/THE MVULI HSE M</t>
  </si>
  <si>
    <t>F51003596032000USD10.00@99.63625/NL24INGB0705454010 MINISTERIE VAN BUI</t>
  </si>
  <si>
    <t>5209100276FCUSD6.46@99.63625/1361329674 RISK AND STRATEGIC MANAGEMENT</t>
  </si>
  <si>
    <t>International Payment Account                     SW09904101700305/EDMS5316</t>
  </si>
  <si>
    <t>EXCISE DUTY 0536609275EZ</t>
  </si>
  <si>
    <t>0388800277FCUSD9227.00@99.63625/833370001 WORLD HEALTH ORGANIZATION-WH</t>
  </si>
  <si>
    <t>chq no.583_27.09.2017</t>
  </si>
  <si>
    <t>chq no.155_27.09.2017</t>
  </si>
  <si>
    <t>INWARD CLEARING 106826 - 002  --</t>
  </si>
  <si>
    <t>FT172753YSLC/1000022272 1/CONNECTING MISSIONS SERVICES 2/P.O.BOX 40360</t>
  </si>
  <si>
    <t>FT1727783GB2/6599890037 1/SHEETAL AND KIRON KAPILA 2/DOVEHILLLOWER KAB</t>
  </si>
  <si>
    <t>3727702526/0101534022 WORLD VISION KENYA P.O BOX 56527-00200 NAIROBI</t>
  </si>
  <si>
    <t>3727702544/0101534022 WORLD VISION KENYA P.O BOX 56527-00200 NAIROBI</t>
  </si>
  <si>
    <t>SE07801710050338/8706022985000 PRICEWATERHOUSECOOPERS LIMITED. PO 4396</t>
  </si>
  <si>
    <t>SE07801710051944/0000000000000000000000870602014950 BHARTI AIRTEL INTE</t>
  </si>
  <si>
    <t>998ORTG172780040/0131135019188706 AU IBAR VETERNARY GOVERANCE PROJECT</t>
  </si>
  <si>
    <t>FT17278DLQQ6/6597680034 1/DEL.OF THE COMM.OF EUROPE COMMIS 2/CBA BUILD</t>
  </si>
  <si>
    <t>013RTGS172780002/0011085009126601 AFRICAN POPULATION AND HEALTH RESE P</t>
  </si>
  <si>
    <t>CHQ DEPOSIT NO. 1831_ 28.9.17</t>
  </si>
  <si>
    <t>022FT10172770037USD3249.00@99.4915/2034481523 DAIMLER COMMERCIAL VEHIC</t>
  </si>
  <si>
    <t>3727900423/0101534022 WORLD VISION KENYA P.O BOX 56527-00200 NAIROBI</t>
  </si>
  <si>
    <t>3727900286/0101534022 WORLD VISION KENYA P.O BOX 56527-00200 NAIROBI</t>
  </si>
  <si>
    <t>SE07801710063264/8704003650100 WORLD VISION INT KENYA PO 50816P.O.BOX</t>
  </si>
  <si>
    <t>IR07801710061496/8700498891800 OLADAPO TUNDE OGUNTOYINBO P O BOX 25490</t>
  </si>
  <si>
    <t>SE07801710062834/8708003408904 AMREF HEALTH AFRICA PO 30125P.O BOX 30</t>
  </si>
  <si>
    <t>SE07801710063262/8704003650100 WORLD VISION INT KENYA PO 50816P.O.BOX</t>
  </si>
  <si>
    <t>SE07801710063266/8704003650100 WORLD VISION INT KENYA PO 50816P.O.BOX</t>
  </si>
  <si>
    <t>SE07801710063260/8704003650100 WORLD VISION INT KENYA PO 50816P.O.BOX</t>
  </si>
  <si>
    <t>3727901185/0101534022 WORLD VISION KENYA P.O BOX 56527-00200 NAIROBI</t>
  </si>
  <si>
    <t>EXCISE DUTY 5209100276FC</t>
  </si>
  <si>
    <t>EXCISE DUTY F51003596032000</t>
  </si>
  <si>
    <t>3727902442/0101534022 WORLD VISION KENYA P.O BOX 56527-00200 NAIROBI</t>
  </si>
  <si>
    <t>0197800279FCUSD85.00@99.4915/833370001 WORLD HEALTH ORGANIZATION-WHO H</t>
  </si>
  <si>
    <t>INWARD CLEARING 106827 - 002  --</t>
  </si>
  <si>
    <t>INWARD CLEARING 106851 - 002  --</t>
  </si>
  <si>
    <t>CHQ DEPOSIT NO. 55_29.9.2017</t>
  </si>
  <si>
    <t>CHQ DEPOSIT NO. 53_29.9.2017</t>
  </si>
  <si>
    <t>CHQ DEPOSIT NO.254314_29.9.2017</t>
  </si>
  <si>
    <t>CHQ DEPOSIT NO.254315_29.9.2017</t>
  </si>
  <si>
    <t>C305613OCP100617USD10.00@99.53975/1109162863 HIGHLIGHT TRAVEL LIMITED</t>
  </si>
  <si>
    <t>C305613OCP100617USD300000.00@99.53975/1109162863 HIGHLIGHT TRAVEL LIMI</t>
  </si>
  <si>
    <t>998ORTG172820005/0131135019188721 AU- IBAR ANIMAL GENETICS PROJECT PO</t>
  </si>
  <si>
    <t>FT17282LCDH6/USD1455100010001 KCB CARD CENTREUSD260.68@99.53975</t>
  </si>
  <si>
    <t>998ORTG172820002/0131135019188725 AU-IBAR REINFORCING ANIMAL HEALTH S</t>
  </si>
  <si>
    <t>013RTGS172820011/0131135019188739 AU IBAR LIVE 2 AFRICA PO BOX 30786 0</t>
  </si>
  <si>
    <t>013RTGS172820009/0131135019188739 AU IBAR LIVE 2 AFRICA PO BOX 30786 0</t>
  </si>
  <si>
    <t>FT17282NQYR0/1109162863 HIGHLIGHT TRAVEL LIMITED P.O BOX 39402 00623 N</t>
  </si>
  <si>
    <t>Reversal:Cash Deposit</t>
  </si>
  <si>
    <t>OUTGOING SWIFTSW09909101700341/PR-005879-PR       OUTGOING SWIFTSW09909101700341/PR-005879</t>
  </si>
  <si>
    <t>S06728307A7201USD9871.00@99.53975/0104399040 AFRICAN TRADE INSURANCE A</t>
  </si>
  <si>
    <t>3728301905/0100597454 KENYA AIRWAYS PLC LOITA STREET NAIROBI KENYA. P</t>
  </si>
  <si>
    <t>FT172836MSRM/USD1455100010001 KCB CARD CENTREUSD2710.68@99.53975</t>
  </si>
  <si>
    <t>Cash Deposit                                      SUKUR</t>
  </si>
  <si>
    <t>chq no.2426_02.10.2017</t>
  </si>
  <si>
    <t>chq no.129_02.10.2017</t>
  </si>
  <si>
    <t>chq no.3_02.10.2017</t>
  </si>
  <si>
    <t>chq no.96_02.10.2017</t>
  </si>
  <si>
    <t>EXCISE DUTY C305613OCP100617</t>
  </si>
  <si>
    <t>FT17283SJHRW/6605330029 1/AUSTRALIAN HIGH COMMISSION 2/RIVERSIDE DRIVE</t>
  </si>
  <si>
    <t>INWARD CLEARING 106852 - 002  --</t>
  </si>
  <si>
    <t>FT1728318NHT/6597680034 1/DEL.OF THE COMM.OF EUROPE COMMIS 2/CBA BUILD</t>
  </si>
  <si>
    <t>2017101000170892USD10.00@99.588/0000000000000000000000870441077540 AIR</t>
  </si>
  <si>
    <t>2017101000170892USD7518.00@99.588/0000000000000000000000870441077540 A</t>
  </si>
  <si>
    <t>FT17284HWC1J/0100000199111 WORLD ORG.OF THE SCOUT MOVEMENT- P O BOX 63</t>
  </si>
  <si>
    <t>chq no.97_03.10.2017</t>
  </si>
  <si>
    <t>CHEQUE DEPOSIT no.176_03.10.2017</t>
  </si>
  <si>
    <t>chq no.269_03.10.2017</t>
  </si>
  <si>
    <t>0620500284FCUSD9275.00@99.588/833370001 WORLD HEALTH ORGANIZATION-WHO</t>
  </si>
  <si>
    <t>0692600284FCUSD546.00@99.588/833370001 WORLD HEALTH ORGANIZATION-WHO H</t>
  </si>
  <si>
    <t>SW09911101700389 PR-000000006274-PR               SW09911101700389 PR-000000006274-PR</t>
  </si>
  <si>
    <t>On Us Cheque Encashment                           JAMES MAINA</t>
  </si>
  <si>
    <t>On Us Cheque Encashment                           J MAINA</t>
  </si>
  <si>
    <t>SW09929091700047EDMS4072</t>
  </si>
  <si>
    <t>EXICSE DUTY 2017101000170892</t>
  </si>
  <si>
    <t>C591345OCP101117USD3569.00@99.63625/9130001796473 1/CARGILL ZAMBIA 200</t>
  </si>
  <si>
    <t>C571469OCP101117USD549950.00@99.63625/1109162863 HIGHLIGHT TRAVEL LIMI</t>
  </si>
  <si>
    <t>FT172841F4N6/6596790028 UNITED BIBLE SOCIETIES ASSOCIATIONUSD9707.00@9</t>
  </si>
  <si>
    <t>3728500147/0101952029 WORLD WIDE FUND FOR NATURE P.O.BOX 62440 - 00200</t>
  </si>
  <si>
    <t>3728500090/0101952339 WORLD WIDE FUND FOR NATURE P.O.BOX 62440 - 00200</t>
  </si>
  <si>
    <t>C571469OCP101117USD10.00@99.63625/1109162863 HIGHLIGHT TRAVEL LIMITED</t>
  </si>
  <si>
    <t>RTGS through Cheque                               OUTGOING RTGSSW09912101700019/PR6320-PR</t>
  </si>
  <si>
    <t>RTGS through Cheque                               SW09912101700034 EDMS 6318</t>
  </si>
  <si>
    <t>FT172850PY92/0100000679733 RENAISSANCE CAPITAL(KENYA) LTD P.O BOX 4056</t>
  </si>
  <si>
    <t>CHQ DEPOSIT NO.1729_04.10.2017</t>
  </si>
  <si>
    <t>4778700285FCUSD71.00@99.63625/0011013809131301 AIRTEL RWANDA LIMITED K</t>
  </si>
  <si>
    <t>4778700285FCUSD4.00@99.63625/0011013809131301 AIRTEL RWANDA LIMITED KA</t>
  </si>
  <si>
    <t>FT17285HGLBV/6597680034 1/DEL.OF THE COMM.OF EUROPE COMMIS 2/CBA BUILD</t>
  </si>
  <si>
    <t>SE07801710130072/8706014328400 CENTUM LEARNING LIMITED PO 73146P.O BO</t>
  </si>
  <si>
    <t>SE07801710130726/8706009247001 GOTV KENYA LTD PO 28348UPPER HILL RD R</t>
  </si>
  <si>
    <t>EXCISE DUTY 4778700285FC</t>
  </si>
  <si>
    <t>EXCISE DUTY C571469OCP101117</t>
  </si>
  <si>
    <t>SE07801710132232/8708003408904 AMREF HEALTH AFRICA PO 30125P.O BOX 30</t>
  </si>
  <si>
    <t>CHQ DEPOSIT NO.100023_05.10.2017</t>
  </si>
  <si>
    <t>CHQ DEPOSIT NO.100021_05.10.2017</t>
  </si>
  <si>
    <t>0544300286FCUSD662.00@99.65555/833370001 WORLD HEALTH ORGANIZATION-WHO</t>
  </si>
  <si>
    <t>SE07801710133586/8708033625700 C.R.S. USCC KENYA PROGRAM PO 49675P.O.</t>
  </si>
  <si>
    <t>HBKG17J12O485822USD8774.68@99.63625/0304044194 CADG ENGINEERING PTE LT</t>
  </si>
  <si>
    <t>SE07801710161522/8702042581600 MIH EAST AFRICA LIMITED PO 60406P O BO</t>
  </si>
  <si>
    <t>013RTGS172890002/0131135019188739 AU IBAR LIVE 2 AFRICA PO BOX 30786 0</t>
  </si>
  <si>
    <t>RASHID AMIR TRANSPORTERS LTD_chq no.293</t>
  </si>
  <si>
    <t>THULILE YVONNE CHAPA_cq no.23</t>
  </si>
  <si>
    <t>998ORTG172890033/0131135019188729 AU IBAR IMPROVING ANIMAL DISEASE SU</t>
  </si>
  <si>
    <t>998ORTG172890017/0131135019188736 AFRICAN UNION- IBAR ESOLT PROJECT PO</t>
  </si>
  <si>
    <t>998ORTG172890016/0131135019188703 AU IBAR ADMIN COST PO BOX 30786 0010</t>
  </si>
  <si>
    <t>998ORTG172890015/0131135019188721 AU- IBAR ANIMAL GENETICS PROJECT PO</t>
  </si>
  <si>
    <t>G0172890583801USD708.00@99.6845/AE030211000000100440032 LG ELECTRONICS</t>
  </si>
  <si>
    <t>G0172890583801USD7.08@99.6845/AE030211000000100440032 LG ELECTRONICS A</t>
  </si>
  <si>
    <t>IR07801710170320/8700141388900 GEMINI ITUA THOMAS OKOEGUALE PO 962P.O</t>
  </si>
  <si>
    <t>3728902376/0101119025 WORLD VISION - SOMALIA P.O BOX 56527-00200 NAIRO</t>
  </si>
  <si>
    <t>013RTGS172900001/0131135019188739 AU IBAR LIVE 2 AFRICA PO BOX 30786 0</t>
  </si>
  <si>
    <t>SE07801710171482/0000000000000000000000870602014950 BHARTI AIRTEL INTE</t>
  </si>
  <si>
    <t>SW09917101700291 PR-000000006995-PR               SW09917101700291 PR-000000006995-PR</t>
  </si>
  <si>
    <t>3461300290FCUSD10.00@99.6845/1010895892 1/TAGOE B A 2/VIRGINIA WATER7</t>
  </si>
  <si>
    <t>3729001543/0104393023 LG ELECTRONICS AFRICA LOGISTICS FZE P.O BOX 505</t>
  </si>
  <si>
    <t>FT17290RB74W/6605330029 1/AUSTRALIAN HIGH COMMISSION 2/RIVERSIDE DRIVE</t>
  </si>
  <si>
    <t>3461300290FCUSD5019.00@99.6845/1010895892 1/TAGOE B A 2/VIRGINIA WATER</t>
  </si>
  <si>
    <t>3729100071/0104220029 AMADEUS GLOBAL TRAVEL DISTRIBUTION P.O.BOX 6680</t>
  </si>
  <si>
    <t>3729100104/0104220029 AMADEUS GLOBAL TRAVEL DISTRIBUTION P.O.BOX 6680</t>
  </si>
  <si>
    <t>3729100670/0101952029 WORLD WIDE FUND FOR NATURE P.O.BOX 62440 - 00200</t>
  </si>
  <si>
    <t>3729100671/0101952339 WORLD WIDE FUND FOR NATURE P.O.BOX 62440 - 00200</t>
  </si>
  <si>
    <t>3729100672/0101952029 WORLD WIDE FUND FOR NATURE P.O.BOX 62440 - 00200</t>
  </si>
  <si>
    <t>3729100220/0104220029 AMADEUS GLOBAL TRAVEL DISTRIBUTION P.O.BOX 6680</t>
  </si>
  <si>
    <t>F51017595790000USD4201.00@99.6845/NL24INGB0705454010 MINISTERIE VAN BU</t>
  </si>
  <si>
    <t>F51017595790000USD10.00@99.6845/NL24INGB0705454010 MINISTERIE VAN BUIT</t>
  </si>
  <si>
    <t>EXCISE DUTY G0172890583801</t>
  </si>
  <si>
    <t>EXCISE DUTY 3461300290FC</t>
  </si>
  <si>
    <t>KENYA ASSEMBLIES OF GOD chq no.527</t>
  </si>
  <si>
    <t>KENYA ASSEMBLIES OF GOD chq no.538</t>
  </si>
  <si>
    <t>KENYA ASSEMBLIES OF GOD chq no.535</t>
  </si>
  <si>
    <t>KENYA ASSEMBLIES OF GOD chq no.530</t>
  </si>
  <si>
    <t>KENYA ASSEMBLIES OF GOD chq no.537</t>
  </si>
  <si>
    <t>OUTGOING SWIFTSW09918101700024/PR-007027-PR       OUTGOING SWIFTSW09918101700024/PR-007027</t>
  </si>
  <si>
    <t>3729100783/0101534022 WORLD VISION KENYA P.O BOX 56527-00200 NAIROBI</t>
  </si>
  <si>
    <t>On Us Cheque Encashment                           CASH CHQ 106981</t>
  </si>
  <si>
    <t>SW09918101700227 PR-000000007123-PR               SW09918101700227 PR-000000007123-PR</t>
  </si>
  <si>
    <t>3729101949/0104256025 OXFAM GB P.O.BOX 40680 - 00100 NAIROBIKENYA THE</t>
  </si>
  <si>
    <t>013RTGS172910007/0131135019188739 AU IBAR LIVE 2 AFRICA PO BOX 30786 0</t>
  </si>
  <si>
    <t>0533700291FCUSD3570.00@99.6845/833370001 WORLD HEALTH ORGANIZATION-WHO</t>
  </si>
  <si>
    <t>FT172913N1FGCADBURY KENYA LIMITED</t>
  </si>
  <si>
    <t>EXCISE DUTY F51017595790000</t>
  </si>
  <si>
    <t>2017101800083335USD5.51@99.781/0000000000000000000000870441077540 AIRT</t>
  </si>
  <si>
    <t>2017101800083335USD551.00@99.781/0000000000000000000000870441077540 AI</t>
  </si>
  <si>
    <t>SE07801710190976/8708003408904 AMREF HEALTH AFRICA PO 30125P.O BOX 30</t>
  </si>
  <si>
    <t>SE07801710190982/8708003408904 AMREF HEALTH AFRICA PO 30125P.O BOX 30</t>
  </si>
  <si>
    <t>SE07801710190924/8708003408900 AMREF HEALTH AFRICA PO 30125P.O BOX 30</t>
  </si>
  <si>
    <t>3729203341/0103306019 WARTSILA EASTERN AFRICA LTD P.O.BOX 66782 NAIROB</t>
  </si>
  <si>
    <t>3729203825/0100331039 KLM-ROYAL DUTCH AIRLINES P O BOX 49239 - 00100 N</t>
  </si>
  <si>
    <t>MR CHIMWEMWE MACHAKA NGOMBE</t>
  </si>
  <si>
    <t>SYMBION KENYA LTD</t>
  </si>
  <si>
    <t>C440642OCP101917USD1332.00@100.02225/9130000129694 1/CARGILL ZAMBIA 20</t>
  </si>
  <si>
    <t>7323000292FCUSD7076.00@100.02225/36291188 AIDSPAN ATTN.WAMBUI MUNENE P</t>
  </si>
  <si>
    <t>022FT10172920077USD6697.00@100.02225/2034481523 DAIMLER COMMERCIAL VEH</t>
  </si>
  <si>
    <t>C500994OCP102017USD910.00@100.02225/9130000129694 1/CARGILL ZAMBIA 200</t>
  </si>
  <si>
    <t>C445505OCP101917USD595.00@100.02225/9130001796473 1/CARGILL ZAMBIA 200</t>
  </si>
  <si>
    <t>SE07801710231018/8704003650100 WORLD VISION INT KENYA PO 50816P.O.BOX</t>
  </si>
  <si>
    <t>SE07801710231402/8708033625700 C.R.S. USCC KENYA PROGRAM PO 49675P.O.</t>
  </si>
  <si>
    <t>3729601328/0101119025 WORLD VISION - SOMALIA P.O BOX 56527-00200 NAIRO</t>
  </si>
  <si>
    <t>7323000292FCUSD10.00@100.02225/36291188 AIDSPAN ATTN.WAMBUI MUNENE P.O</t>
  </si>
  <si>
    <t>SW09923101700134 PR-000000007079-PR               SW09923101700134 PR-000000007079-PR</t>
  </si>
  <si>
    <t>AKUHN__chq 4457</t>
  </si>
  <si>
    <t>KENYA ASSEMBLIES OF GOD_chq 536</t>
  </si>
  <si>
    <t>KENYA ASSEMBLIES OF GOD_chq 542</t>
  </si>
  <si>
    <t>PASUPULETI JWANESH__chq 95</t>
  </si>
  <si>
    <t>PASUPULETI JWANESH__chq 93</t>
  </si>
  <si>
    <t>FT17296X5M82/6605330029 1/AUSTRALIAN HIGH COMMISSION 2/RIVERSIDE DRIVE</t>
  </si>
  <si>
    <t>1596500296FCUSD8503.00@100.02225/833370001 WORLD HEALTH ORGANIZATION-W</t>
  </si>
  <si>
    <t>INWARD CLEARING 106898 - 002  --</t>
  </si>
  <si>
    <t>INWARD CLEARING 106887 - 002  --</t>
  </si>
  <si>
    <t>Cash Deposit                                      MERCY</t>
  </si>
  <si>
    <t>PASGR__chq no.271</t>
  </si>
  <si>
    <t>NORWEGIAN CHURCH AID_chq no.671</t>
  </si>
  <si>
    <t>GENERAL CONFERENCE OF THE ADVENTIST_chq no.55</t>
  </si>
  <si>
    <t>KENSWITCH LTD_chq no.2107</t>
  </si>
  <si>
    <t>8377100296FCUSD7.15@100.02225/1361329674 RISK AND STRATEGIC MANAGEMENT</t>
  </si>
  <si>
    <t>8377100296FCUSD715.00@100.02225/1361329674 RISK AND STRATEGIC MANAGEME</t>
  </si>
  <si>
    <t>013RTGS172960005/0011085009126601 AFRICAN POPULATION AND HEALTH RESE P</t>
  </si>
  <si>
    <t>013RTGS172960006/0131135019188739 AU IBAR LIVE 2 AFRICA PO BOX 30786 0</t>
  </si>
  <si>
    <t>RWANDA AIR_ chq no.500502 under 17.10.2017</t>
  </si>
  <si>
    <t>SW09924101700360 PR-000000007705-PR               SW09924101700360 PR-000000007705-PR</t>
  </si>
  <si>
    <t>2017102300054757USD1572.08@100.02225/8706020920200 SAMSUNG ELECTRONICS</t>
  </si>
  <si>
    <t>SE0780171024E773/8708003408904 AMREF HEALTH AFRICA PO 30125P.O BOX 30</t>
  </si>
  <si>
    <t>3729701785USD1333.00@100.21525/0104399040 AFRICAN TRADE INSURANCE AGEN</t>
  </si>
  <si>
    <t>4735400298FCUSD595.01@100.21525/0011013809131301 AIRTEL RWANDA LIMITED</t>
  </si>
  <si>
    <t>4735400298FCUSD5.95@100.21525/0011013809131301 AIRTEL RWANDA LIMITED K</t>
  </si>
  <si>
    <t>IR07801710270624/8700498891800 OLADAPO TUNDE OGUNTOYINBO P O BOX 25490</t>
  </si>
  <si>
    <t>IR07801710270690/8700248022200 JAEWON LEE PO 27577P.O BOX 27577 00506</t>
  </si>
  <si>
    <t>SW09927101700025 PR-000000007704-PR               SW09927101700025 PR-000000007704-PR</t>
  </si>
  <si>
    <t>SW09927101700050 PR-000000007752-PR               SW09927101700050 PR-000000007752-PR</t>
  </si>
  <si>
    <t>NEW WIDE GARMENTS K EPZ chq no.2402</t>
  </si>
  <si>
    <t>FRIGOKEN LTD chq no.304371</t>
  </si>
  <si>
    <t>5349600300FCUSD6.70@100.21525/0011013809131301 AIRTEL RWANDA LIMITED K</t>
  </si>
  <si>
    <t>5349600300FCUSD670.01@100.21525/0011013809131301 AIRTEL RWANDA LIMITED</t>
  </si>
  <si>
    <t>0658100298FCUSD11640.00@100.21525/833370001 WORLD HEALTH ORGANIZATION-</t>
  </si>
  <si>
    <t>0969800300FC/CRED EXCISE DUTY</t>
  </si>
  <si>
    <t>0969800300FC/CRED SWIFT COMM</t>
  </si>
  <si>
    <t>0969800300FC/CRED</t>
  </si>
  <si>
    <t>INWARD CLEARING 106862 - 002  --</t>
  </si>
  <si>
    <t>INWARD CLEARING 106864 - 002  --</t>
  </si>
  <si>
    <t>HBKG17J26O490639USD4807.00@100.21525/0304044194 CADG ENGINEERING PTE L</t>
  </si>
  <si>
    <t>FT17300GM6SS/6605330029 1/AUSTRALIAN HIGH COMMISSION 2/RIVERSIDE DRIVE</t>
  </si>
  <si>
    <t>FT17303QGD6Z/0100003538286 CROWN MOTORS GROUP LTD P.O BOX 30333 KENYAU</t>
  </si>
  <si>
    <t>6483200297FCUSD6.25@99.974/40051573447444 THE TRAVEL COMPANY LIMITED 3</t>
  </si>
  <si>
    <t>6483200297FCUSD625.00@99.974/40051573447444 THE TRAVEL COMPANY LIMITED</t>
  </si>
  <si>
    <t>EXCISE DUTY 2017101800083335</t>
  </si>
  <si>
    <t>RTGS through Cheque                               OUTGOING RTGSSW09930101700124/PR-007984-</t>
  </si>
  <si>
    <t>RTGS through Cheque                               OUTGOING RTGSSW09930101700184/PR-07987-P</t>
  </si>
  <si>
    <t>C398541OCP103017USD10.00@99.974/1109162863 HIGHLIGHT TRAVEL LIMITED P.</t>
  </si>
  <si>
    <t>F51030570013000USD10.00@99.974/NL24INGB0705454010 MINISTERIE VAN BUITE</t>
  </si>
  <si>
    <t>FT173045YBXP/0100003492804 ROBERT BOSCH EAST AFRICA LIMITED P.O BOX 85</t>
  </si>
  <si>
    <t>S06730310E7501USD4283.00@99.974/0104330012 KENYA CUTTINGS LIMITED P.O.</t>
  </si>
  <si>
    <t>F51030570013000USD12723.00@99.974/NL24INGB0705454010 MINISTERIE VAN BU</t>
  </si>
  <si>
    <t>C398541OCP103017USD900000.00@99.974/1109162863 HIGHLIGHT TRAVEL LIMITE</t>
  </si>
  <si>
    <t>Account Transfer                                  KENNEDY</t>
  </si>
  <si>
    <t>GENERAL CONFERENCE OF SDA chq no.254316_23.10.2017</t>
  </si>
  <si>
    <t>HAWAS GARBA MATTA chq no.132_23.10.2017</t>
  </si>
  <si>
    <t>JIC GENERAL &amp; MEDICAL BUS chq no.979_23.10.2017</t>
  </si>
  <si>
    <t>Cheque Item deposit 106868</t>
  </si>
  <si>
    <t>Cash Deposit                                      REHEMA</t>
  </si>
  <si>
    <t>FT1730464J3DCADBURY KENYA LIMITED</t>
  </si>
  <si>
    <t>998ORTG173040100/0131135019188723 AU- IBAR BEE MANAGEMENT PROJECT PO B</t>
  </si>
  <si>
    <t>FT17304J825H/7881820049 1/WORLD WIDE FUND FOR NATURE 2/THE MVULI HSE M</t>
  </si>
  <si>
    <t>FT17304KT0VG/1003338556 BERNADETTE NDUNGE MUUTU P.O. BOX 74020 NAIROBI</t>
  </si>
  <si>
    <t>Main Interest Debit:02020010734700</t>
  </si>
  <si>
    <t>Specified period (01-11-2017 - 30-11-2017)</t>
  </si>
  <si>
    <t>INWARD CLEARING 106971 - 002  --</t>
  </si>
  <si>
    <t>JOYCE NDUEH MUMAH chq no.14_24.10.2017</t>
  </si>
  <si>
    <t>OUTGOING SWIFT SW09901111700032/PR-008101-PR      OUTGOING SWIFT SW09901111700032/PR-00810</t>
  </si>
  <si>
    <t>RTGS through Cheque                               OUTGOING RTGSSW09901111700035/PR-008102-</t>
  </si>
  <si>
    <t>OUTGOING SWIFTSW09901111700037/PR-08103-PR        OUTGOING SWIFTSW09901111700037/PR-08103-</t>
  </si>
  <si>
    <t>F61031022149001USD3655.00@100.11875/536027048 CURE INTERNATIONAL INC 7</t>
  </si>
  <si>
    <t>F61031022149001USD10.00@100.11875/536027048 CURE INTERNATIONAL INC 774</t>
  </si>
  <si>
    <t>FT17304NMKDN/6596790028 UNITED BIBLE SOCIETIES ASSOCIATIONUSD12570.00@</t>
  </si>
  <si>
    <t>3730500751/0300050088 SAFARICOM LTD P.O.BOX 66827-00800 NAIROBIKENYAU</t>
  </si>
  <si>
    <t>3730501903/0101534022 WORLD VISION KENYA P.O BOX 56527-00200 NAIROBI</t>
  </si>
  <si>
    <t>2017103100052515USD26269.74@100.11875/8706020920200 SAMSUNG ELECTRONIC</t>
  </si>
  <si>
    <t>2017103100145799USD7263.47@100.11875/8706020920200 SAMSUNG ELECTRONICS</t>
  </si>
  <si>
    <t>0647400305FCUSD13449.00@100.11875/833370001 WORLD HEALTH ORGANIZATION-</t>
  </si>
  <si>
    <t>Cash Deposit                                      BRENDA</t>
  </si>
  <si>
    <t>FT17305B785S/6597680034 1/DEL.OF THE COMM.OF EUROPE COMMIS 2/CBA BUILD</t>
  </si>
  <si>
    <t>SE07801711020814/8708003408904 AMREF HEALTH AFRICA PO 30125P.O BOX 30</t>
  </si>
  <si>
    <t>SE07801711020818/8708003408904 AMREF HEALTH AFRICA PO 30125P.O BOX 30</t>
  </si>
  <si>
    <t>3730601079/0101534022 WORLD VISION KENYA P.O BOX 56527-00200 NAIROBI</t>
  </si>
  <si>
    <t>3730601220/0101534022 WORLD VISION KENYA P.O BOX 56527-00200 NAIROBI</t>
  </si>
  <si>
    <t>3730601221/0101534022 WORLD VISION KENYA P.O BOX 56527-00200 NAIROBI</t>
  </si>
  <si>
    <t>FT17306Y1Z00/6605330029 1/AUSTRALIAN HIGH COMMISSION 2/RIVERSIDE DRIVE</t>
  </si>
  <si>
    <t>HIVER BOUSSINI chq 500333</t>
  </si>
  <si>
    <t>FIVE  FORTY AVIATION LTD cq.302724</t>
  </si>
  <si>
    <t>FIVE  FORTY AVIATION LTD cq.302725</t>
  </si>
  <si>
    <t>CIAAS/CARITAS AUSTRALIA chq 589</t>
  </si>
  <si>
    <t>2017110100047738USD31407.53@100.0705/8706020920200 SAMSUNG ELECTRONICS</t>
  </si>
  <si>
    <t>CMRTG1730600369/0112313002 DIAMOND TRUST BANK KENYA LTD DTB CENTRE MOM</t>
  </si>
  <si>
    <t>Cash Deposit                                      LEMBA</t>
  </si>
  <si>
    <t>INWARD CLEARING 106869 - 002  --</t>
  </si>
  <si>
    <t>998ORTG173070031/0131135019188725 AU-IBAR REINFORCING ANIMAL HEALTH S</t>
  </si>
  <si>
    <t>3730701317/0104393023 LG ELECTRONICS AFRICA LOGISTICS FZE P.O BOX 505</t>
  </si>
  <si>
    <t>998ORTG173070030/0131135019188723 AU- IBAR BEE MANAGEMENT PROJECT PO B</t>
  </si>
  <si>
    <t>998ORTG173070029/0131135019188703 AU IBAR ADMIN COST PO BOX 30786 0010</t>
  </si>
  <si>
    <t>S06730710F8701USD3360.00@100.02225/0104399040 AFRICAN TRADE INSURANCE</t>
  </si>
  <si>
    <t>FT17306G4638/6605330029 1/AUSTRALIAN HIGH COMMISSION 2/RIVERSIDE DRIVE</t>
  </si>
  <si>
    <t>International Payment Account                     SW09903111700226/EDMS 8687</t>
  </si>
  <si>
    <t>998ORTG173070028/0131135019188721 AU- IBAR ANIMAL GENETICS PROJECT PO</t>
  </si>
  <si>
    <t>EXCISE DUTY F61031022149001</t>
  </si>
  <si>
    <t>EXCISE  DUTY C398541OCP103017</t>
  </si>
  <si>
    <t>EXCISE  DUTY F51030570013000</t>
  </si>
  <si>
    <t>EXCISE  DUTY 6483200297FC</t>
  </si>
  <si>
    <t>EXCISE  DUTY 5349600300FC</t>
  </si>
  <si>
    <t>EXCISE  DUTY 4735400298FC</t>
  </si>
  <si>
    <t>EXCISE  DUTY 8377100296FC</t>
  </si>
  <si>
    <t>EXCISE  DUTY 7323000292FC</t>
  </si>
  <si>
    <t>Cash Deposit                                      WILL</t>
  </si>
  <si>
    <t>TOURISM PROMOTION SERV TANZANIA LTD_chq no.203136</t>
  </si>
  <si>
    <t>SE07801711060236/8706022985000 PRICEWATERHOUSECOOPERS LIMITED. PO 4396</t>
  </si>
  <si>
    <t>INWARD CLEARING 106901 - 002  --</t>
  </si>
  <si>
    <t>SE07801711071386/0000000000000000000000870602014950 BHARTI AIRTEL INTE</t>
  </si>
  <si>
    <t>SW09907111700236 PR-000000008973-PR               SW09907111700236 PR-000000008973-PR</t>
  </si>
  <si>
    <t>SE07801711072980/8702042581600 MIH EAST AFRICA LIMITED PO 60406P O BO</t>
  </si>
  <si>
    <t>Cheque Item deposit 106974                        cheque no.106974</t>
  </si>
  <si>
    <t>2017110700089596USD4.70@99.92575/0000000000000000000000870441077540 AI</t>
  </si>
  <si>
    <t>2017110700089596USD470.00@99.92575/0000000000000000000000870441077540</t>
  </si>
  <si>
    <t>SE07801711080060/8708003408904 AMREF HEALTH AFRICA PO 30125P.O BOX 30</t>
  </si>
  <si>
    <t>FT17311XTS4L/ASSOCIATED PRESS                     FT17311XTS4L/ASSOCIATED PRESS</t>
  </si>
  <si>
    <t>0679200312FCUSD5921.00@99.92575/833370001 WORLD HEALTH ORGANIZATION-WH</t>
  </si>
  <si>
    <t>NORWEGIAN RED CROSS chq.100025_01.11.2017</t>
  </si>
  <si>
    <t>ALICE WANJIRA MUNYUA chq.97_01.11.2017</t>
  </si>
  <si>
    <t>0640909312FFUSD1055.00@99.92575/0101119033 WORLD VISION SOMALIA P.O BO</t>
  </si>
  <si>
    <t>CMRTG1731200232/0112313002 DIAMOND TRUST BANK KENYA LTD DTB CENTRE MOM</t>
  </si>
  <si>
    <t>0640909312FFUSD10.00@99.92575/0101119033 WORLD VISION SOMALIA P.O BOX</t>
  </si>
  <si>
    <t>INWARD CLEARING 106917 - 002  --</t>
  </si>
  <si>
    <t>INWARD CLEARING 106888 - 002  --</t>
  </si>
  <si>
    <t>EXCISE DUTY 0640909312FF</t>
  </si>
  <si>
    <t>EXCISE DUTY 2017110700089596</t>
  </si>
  <si>
    <t>FT17312ZGX9X/1000022272 1/CONNECTING MISSIONS SERVICES 2/P.O.BOX 40360</t>
  </si>
  <si>
    <t>3731202146/0104393023 LG ELECTRONICS AFRICA LOGISTICS FZE P.O BOX 505</t>
  </si>
  <si>
    <t>3731300426/0103306019 WARTSILA EASTERN AFRICA LTD P.O.BOX 66782 NAIROB</t>
  </si>
  <si>
    <t>chq no.000039_under 02.11.17</t>
  </si>
  <si>
    <t>chq no.000056_under 02.11.17</t>
  </si>
  <si>
    <t>International Payment Account                     SW09909111700297/EDMS 9311</t>
  </si>
  <si>
    <t>SE07801711093728/0000000000000000000000870602014950 BHARTI AIRTEL INTE</t>
  </si>
  <si>
    <t>013RTGS173130006/0131135019188739 AU IBAR LIVE 2 AFRICA PO BOX 30786 0</t>
  </si>
  <si>
    <t>FT17313396NQ/6596790028 1/UNITED BSA DESIGNATED FUND LTD-NR 2/NAIROBI</t>
  </si>
  <si>
    <t>Cheque Item deposit 106918</t>
  </si>
  <si>
    <t>2017110900084783USD145.00@99.8775/0000000000000000000000870441077540 A</t>
  </si>
  <si>
    <t>C519106OCP110917USD600000.00@99.8775/1109162863 HIGHLIGHT TRAVEL LIMIT</t>
  </si>
  <si>
    <t>HBKG17K09O496464USD3515.00@99.8775/0304044194 CADG ENGINEERING PTE LTD</t>
  </si>
  <si>
    <t>3731400958/0101534022 WORLD VISION KENYA P.O BOX 56527-00200 NAIROBI</t>
  </si>
  <si>
    <t>FT17314XL8L9/0100000199111 WORLD ORG.OF THE SCOUT MOVEMENT- P O BOX 63</t>
  </si>
  <si>
    <t>SE07801711100310/8706023172301 MULTICHOICE KENYA LTD PO 60406P.O BOX</t>
  </si>
  <si>
    <t>998ORTG173140014/0131135019188721 AU- IBAR ANIMAL GENETICS PROJECT PO</t>
  </si>
  <si>
    <t>3731400924/0101534022 WORLD VISION KENYA P.O BOX 56527-00200 NAIROBI</t>
  </si>
  <si>
    <t>3731400963/0101534022 WORLD VISION KENYA P.O BOX 56527-00200 NAIROBI</t>
  </si>
  <si>
    <t>3731400970/0101534022 WORLD VISION KENYA P.O BOX 56527-00200 NAIROBI</t>
  </si>
  <si>
    <t>3731400166/0103125014 PHILIPS EAST AFRICA LIMITED P.O. BOX 39764-00623</t>
  </si>
  <si>
    <t>998ORTG173140023/0131135019188731 AU- IBAR FISH GOVERANCE PROJECT PO B</t>
  </si>
  <si>
    <t>C519106OCP110917USD10.00@99.8775/1109162863 HIGHLIGHT TRAVEL LIMITED P</t>
  </si>
  <si>
    <t>2017110900084783USD4.00@99.8775/0000000000000000000000870441077540 AIR</t>
  </si>
  <si>
    <t>SW09910111700158 PR-000000009428-PR               SW09910111700158 PR-000000009428-PR</t>
  </si>
  <si>
    <t>3731401177/0101534022 WORLD VISION KENYA P.O BOX 56527-00200 NAIROBI</t>
  </si>
  <si>
    <t>International Payment Account                     SW09910111700183/EDMS 9513</t>
  </si>
  <si>
    <t>SW09910111700230 EDMS 9511                        SW09910111700230 EDMS 9511</t>
  </si>
  <si>
    <t>SW09910111700246 EDMS 9512                        SW09910111700246 EDMS 9512</t>
  </si>
  <si>
    <t>4848100314FCUSD2773.00@99.8775/36291188 AIDSPAN ATTN.WAMBUI MUNENE P.O</t>
  </si>
  <si>
    <t>4848100314FCUSD10.00@99.8775/36291188 AIDSPAN ATTN.WAMBUI MUNENE P.O.</t>
  </si>
  <si>
    <t>2017110900043056USD5734.80@99.8775/8706020920201 SAMSUNG ELECTRONICS E</t>
  </si>
  <si>
    <t>0636600314FCUSD246.23@99.8775/833370001 WORLD HEALTH ORGANIZATION-WHO</t>
  </si>
  <si>
    <t>INWARD CLEARING 106899 - 002  --</t>
  </si>
  <si>
    <t>INWARD CLEARING 106877 - 002  --</t>
  </si>
  <si>
    <t>3731700585/0101952029 WORLD WIDE FUND FOR NATURE P.O.BOX 62440 - 00200</t>
  </si>
  <si>
    <t>RTGS through Cheque                               SW09913111700283 PR-000000009631-PR</t>
  </si>
  <si>
    <t>FT17317VPZ7R/0100003492804 ROBERT BOSCH EAST AFRICA LIMITED P.O BOX 85</t>
  </si>
  <si>
    <t>FT173177K80T/0100003492804 ROBERT BOSCH EAST AFRICA LIMITED P.O BOX 85</t>
  </si>
  <si>
    <t>FT17317DCX47/0100003492804 ROBERT BOSCH EAST AFRICA LIMITED P.O BOX 85</t>
  </si>
  <si>
    <t>FT17317JR1D5/0100003492804 ROBERT BOSCH EAST AFRICA LIMITED P.O BOX 85</t>
  </si>
  <si>
    <t>3731701921/0101534022 WORLD VISION KENYA P.O BOX 56527-00200 NAIROBI</t>
  </si>
  <si>
    <t>FT17317HJKPY/0100003492804 ROBERT BOSCH EAST AFRICA LIMITED P.O BOX 85</t>
  </si>
  <si>
    <t>FT17317WGWBT/0100003492804 ROBERT BOSCH EAST AFRICA LIMITED P.O BOX 85</t>
  </si>
  <si>
    <t>FT173174J8Z9/0100003492804 ROBERT BOSCH EAST AFRICA LIMITED P.O BOX 85</t>
  </si>
  <si>
    <t>FT17317T7FK4/0100003492804 ROBERT BOSCH EAST AFRICA LIMITED P.O BOX 85</t>
  </si>
  <si>
    <t>FT17317PBCXS/0100003492804 ROBERT BOSCH EAST AFRICA LIMITED P.O BOX 85</t>
  </si>
  <si>
    <t>FT17317TCPFN/0100003492804 ROBERT BOSCH EAST AFRICA LIMITED P.O BOX 85</t>
  </si>
  <si>
    <t>FT17317WYKKJ/0100003492804 ROBERT BOSCH EAST AFRICA LIMITED P.O BOX 85</t>
  </si>
  <si>
    <t>FT173176YZ17/0100003492804 ROBERT BOSCH EAST AFRICA LIMITED P.O BOX 85</t>
  </si>
  <si>
    <t>FT1731776RY6/0100003492804 ROBERT BOSCH EAST AFRICA LIMITED P.O BOX 85</t>
  </si>
  <si>
    <t>RTGS through Cheque                               OUTGOING RTGSSW09914111700015/PR-009630-</t>
  </si>
  <si>
    <t>022FT10173140101USD215.00@99.974/0702632498 GALLAGHER POWER FENCE SYST</t>
  </si>
  <si>
    <t>013RTGS173180004/0011085009126601 AFRICAN POPULATION AND HEALTH RESE P</t>
  </si>
  <si>
    <t>Reversal Cheque Item deposit 500322 Direct</t>
  </si>
  <si>
    <t>Reversal Cheque Item deposit 505532 Direct</t>
  </si>
  <si>
    <t>Cheque Item deposit 300275</t>
  </si>
  <si>
    <t>Reversal Cheque Item deposit 000648</t>
  </si>
  <si>
    <t>INWARD CLEARING 106873 - 002  --</t>
  </si>
  <si>
    <t>INWARD CLEARING 106745 - 002  --</t>
  </si>
  <si>
    <t>INWARD CLEARING 106874 - 002  --</t>
  </si>
  <si>
    <t>SE07801711150492/8704023282501 PANNAR SEED (KENYA) LIMITED PO 10383P</t>
  </si>
  <si>
    <t>FT17319BC9FM/6487840028 1/KATHARINE JANE DOWNIE 2/END RIVERSIDE DR BEH</t>
  </si>
  <si>
    <t>0957009318EZUSD1882.00@99.92575/0001979767 DEBLASIO + DEBLASIO ASSOCIA</t>
  </si>
  <si>
    <t>0957009318EZUSD10.00@99.92575/0001979767 DEBLASIO + DEBLASIO ASSOCIATE</t>
  </si>
  <si>
    <t>C107276OCP111417USD2505.00@99.92575/9130001796473 1/CARGILL ZAMBIA 200</t>
  </si>
  <si>
    <t>C784810OCP111417USD900.00@99.92575/9130001796473 1/CARGILL ZAMBIA 2009</t>
  </si>
  <si>
    <t>3731901031/0104393023 LG ELECTRONICS AFRICA LOGISTICS FZE P.O BOX 505</t>
  </si>
  <si>
    <t>EXCISE DUTY2017110900084783</t>
  </si>
  <si>
    <t>EXCISE DUTYC519106OCP110917</t>
  </si>
  <si>
    <t>EXCISE DUTY4848100314FC</t>
  </si>
  <si>
    <t>FT17319BYKQR/6597680034 1/DEL.OF THE COMM.OF EUROPE COMMIS 2/CBA BUILD</t>
  </si>
  <si>
    <t>0663909319FFUSD30.26@99.92575/000004121346522 FLUOR CONOPS LTD. ATTN.</t>
  </si>
  <si>
    <t>OUTGOING SWIFTSW09915111700362/PR-009956-PR       OUTGOING SWIFTSW09915111700362/PR-009956</t>
  </si>
  <si>
    <t>Cheque Item deposit 000058</t>
  </si>
  <si>
    <t>F51115629167000USD10.00@100.02225/NL24INGB0705454010 MINISTERIE VAN BU</t>
  </si>
  <si>
    <t>F51115629167000USD7622.00@100.02225/NL24INGB0705454010 MINISTERIE VAN</t>
  </si>
  <si>
    <t>FT173201S6NJ/6605330029 1/AUSTRALIAN HIGH COMMISSION 2/RIVERSIDE DRIVE</t>
  </si>
  <si>
    <t>EXCISE DUTY0957009318EZ</t>
  </si>
  <si>
    <t>FT17320D41TJ/0100000679733 RENAISSANCE CAPITAL(KENYA) LTD P.O BOX 4056</t>
  </si>
  <si>
    <t>FT17320Y47YN/CADBURY KENYA LTD</t>
  </si>
  <si>
    <t>Cheque Item deposit 000590</t>
  </si>
  <si>
    <t>Cheque Item deposit 100026</t>
  </si>
  <si>
    <t>INWARD CLEARING 106768 - 002  --</t>
  </si>
  <si>
    <t>INWARD CLEARING 106819 - 002  --</t>
  </si>
  <si>
    <t>INWARD CLEARING 106767 - 002  --</t>
  </si>
  <si>
    <t>INWARD CLEARING 106902 - 002  --</t>
  </si>
  <si>
    <t>INWARD CLEARING 106900 - 002  --</t>
  </si>
  <si>
    <t>6533000320FCUSD10.00@100.02225/0227261684 HUDSON PONYOKO LUSIJI LAVING</t>
  </si>
  <si>
    <t>3732002216/0101119025 WORLD VISION - SOMALIA P.O BOX 56527-00200 NAIRO</t>
  </si>
  <si>
    <t>SE07801711171494/8708003408901 AMREF HEALTH AFRICA PO 30125P.O BOX 30</t>
  </si>
  <si>
    <t>6533000320FCUSD7175.00@100.02225/0227261684 HUDSON PONYOKO LUSIJI LAVI</t>
  </si>
  <si>
    <t>SW09917111700196 PR-000000010211-PR               SW09917111700196 PR-000000010211-PR</t>
  </si>
  <si>
    <t>3732101347/0104256025 OXFAM GB P.O.BOX 40680 - 00100 NAIROBIKENYA THE</t>
  </si>
  <si>
    <t>OUTGOING SWIFTSW09917111700205/PR0010302-PR       OUTGOING SWIFTSW09917111700205/PR0010302</t>
  </si>
  <si>
    <t>SE07801711173702/8706009247001 GOTV KENYA LTD PO 28348UPPER HILL RD R</t>
  </si>
  <si>
    <t>3732101539/0300050088 SAFARICOM LTD P.O.BOX 66827-00800 NAIROBIKENYAU</t>
  </si>
  <si>
    <t>FT17321J1SBV/0100000680219 ENGEN (K) LTD P.O BOX 10278 KENYAUSD459.00@</t>
  </si>
  <si>
    <t>3732102169/0104330012 KENYA CUTTINGS LIMITED P.O. BOX 27774-00506 NYAY</t>
  </si>
  <si>
    <t>SE07801711173260/8708033625700 C.R.S. USCC KENYA PROGRAM PO 49675P.O.</t>
  </si>
  <si>
    <t>Cheque Item deposit 106904</t>
  </si>
  <si>
    <t>Cheque Item deposit 000098</t>
  </si>
  <si>
    <t>Cheque Item deposit 000020</t>
  </si>
  <si>
    <t>Cheque Item deposit 254321</t>
  </si>
  <si>
    <t>S067321013F101USD51961.00@100.0705/0104281014 GENERAL CONFERENCE COPRO</t>
  </si>
  <si>
    <t>S067321148F001USD25.00@100.0705/0104479021 KCSSA EAST AFRICA LIMITED P</t>
  </si>
  <si>
    <t>3732400656/0103306019 WARTSILA EASTERN AFRICA LTD P.O.BOX 66782 NAIROB</t>
  </si>
  <si>
    <t>S067321148F001USD4.00@100.0705/0104479021 KCSSA EAST AFRICA LIMITED P</t>
  </si>
  <si>
    <t>SE07801711201910/8708003408904 AMREF HEALTH AFRICA PO 30125P.O BOX 30</t>
  </si>
  <si>
    <t>INWARD CLEARING 106962 - 002  --</t>
  </si>
  <si>
    <t>INWARD CLEARING 106903 - 002  --</t>
  </si>
  <si>
    <t>SE07801711210106/8704003650100 WORLD VISION INT KENYA PO 50816P.O.BOX</t>
  </si>
  <si>
    <t>3732500268/0101119025 WORLD VISION - SOMALIA P.O BOX 56527-00200 NAIRO</t>
  </si>
  <si>
    <t>3732500633/0101534022 WORLD VISION KENYA P.O BOX 56527-00200 NAIROBI</t>
  </si>
  <si>
    <t>EXCISE DUTY 6533000320FC</t>
  </si>
  <si>
    <t>EXCISE DUTY F51115629167000</t>
  </si>
  <si>
    <t>Cash Deposit                                      ALEX GITONGA</t>
  </si>
  <si>
    <t>Cheque Item deposit 000040</t>
  </si>
  <si>
    <t>SW09921111700238 EDMS 10608                       SW09921111700238 EDMS 10608</t>
  </si>
  <si>
    <t>SE07801711212062/8708033625700 C.R.S. USCC KENYA PROGRAM PO 49675P.O.</t>
  </si>
  <si>
    <t>3732501646/0101119025 WORLD VISION - SOMALIA P.O BOX 56527-00200 NAIRO</t>
  </si>
  <si>
    <t>Cheque Item deposit 000274</t>
  </si>
  <si>
    <t>2017112100084528USD10.00@99.63625/0000000000000000000000870441077540 A</t>
  </si>
  <si>
    <t>2017112100084528USD3070.00@99.63625/0000000000000000000000870441077540</t>
  </si>
  <si>
    <t>FT173260VX4T/6426970023 1/ASSOCIATED PRESS 2/CVS PLAZA 4TH FLOOR LENAN</t>
  </si>
  <si>
    <t>1335500326FCUSD1336.00@99.63625/833370001 WORLD HEALTH ORGANIZATION-WH</t>
  </si>
  <si>
    <t>EXCISE DUTYS067321148F001</t>
  </si>
  <si>
    <t>Cheque Item deposit 002472</t>
  </si>
  <si>
    <t>Cheque Item deposit 000015</t>
  </si>
  <si>
    <t>3732700625/0103125014 PHILIPS EAST AFRICA LIMITED P.O. BOX 39764-00623</t>
  </si>
  <si>
    <t>3732602789/0101534022 WORLD VISION KENYA P.O BOX 56527-00200 NAIROBI</t>
  </si>
  <si>
    <t>Cheque Item deposit 100010</t>
  </si>
  <si>
    <t>International Payment Account                     SW09923111700257/EDMS 10862</t>
  </si>
  <si>
    <t>EXCISE DUTY2017112100084528</t>
  </si>
  <si>
    <t>SE07801711233142/8708003408904 AMREF HEALTH AFRICA PO 30125P.O BOX 30</t>
  </si>
  <si>
    <t>FT173287974P/7881820049 1/WORLD WIDE FUND FOR NATURE 2/THE MVULI HSE M</t>
  </si>
  <si>
    <t>FT17328FNTTS/7881820049 1/WORLD WIDE FUND FOR NATURE 2/THE MVULI HSE M</t>
  </si>
  <si>
    <t>FT173288LBM4/7881820049 1/WORLD WIDE FUND FOR NATURE 2/THE MVULI HSE M</t>
  </si>
  <si>
    <t>FT173271Q22C/6596790028 1/UNITED BSA DESIGNATED FUND LTD-NR 2/NAIROBI</t>
  </si>
  <si>
    <t>3732703457/0104281063 GENERAL CONFERENCE COPRORATION P.O.BOX 14756 -00</t>
  </si>
  <si>
    <t>3732703357/0101534022 WORLD VISION KENYA P.O BOX 56527-00200 NAIROBI</t>
  </si>
  <si>
    <t>3732703359/0101534022 WORLD VISION KENYA P.O BOX 56527-00200 NAIROBI</t>
  </si>
  <si>
    <t>S0673282162401USD5137.00@99.53975/0104399040 AFRICAN TRADE INSURANCE A</t>
  </si>
  <si>
    <t>FT17328GTZG7/6605330029 1/AUSTRALIAN HIGH COMMISSION 2/RIVERSIDE DRIVE</t>
  </si>
  <si>
    <t>IR07801711241614/8700248019900 BAVO EMANUEL MZEE PO 962P.O.BOX 962 00</t>
  </si>
  <si>
    <t>013RTGS173280002/0011085009126601 AFRICAN POPULATION AND HEALTH RESE P</t>
  </si>
  <si>
    <t>Cash Deposit                                      PATRICK</t>
  </si>
  <si>
    <t>Cheque Item deposit 254324</t>
  </si>
  <si>
    <t>Cheque Item deposit 000005</t>
  </si>
  <si>
    <t>INWARD CLEARING 106940 - 002  --</t>
  </si>
  <si>
    <t>INWARD CLEARING 106939 - 002  --</t>
  </si>
  <si>
    <t>0580700328JMUSD10.00@99.63625/0131135019188703 AU IBAR ADMIN COST PO B</t>
  </si>
  <si>
    <t>0580700328JMUSD4097.00@99.63625/0131135019188703 AU IBAR ADMIN COST PO</t>
  </si>
  <si>
    <t>1576800331FCUSD41630.00@99.63625/833370001 WORLD HEALTH ORGANIZATION-W</t>
  </si>
  <si>
    <t>FT17331VQX4R/6555330016 1/MIRIAM JEROTICH CHEROGONY 2/A7 OASIS PARKGIT</t>
  </si>
  <si>
    <t>Cheque Item deposit 000206</t>
  </si>
  <si>
    <t>Cheque Item deposit 000659</t>
  </si>
  <si>
    <t>HBKG17K28O503400USD3778.00@99.6845/0304044194 CADG ENGINEERING PTE LTD</t>
  </si>
  <si>
    <t>G0173310890801USD1545.00@99.6845/AE030211000000100440032 LG ELECTRONIC</t>
  </si>
  <si>
    <t>022FT10173310085USD10932.00@99.6845/0702632498 GALLAGHER POWER FENCE S</t>
  </si>
  <si>
    <t>F3S1711230450300USD7454.00@99.6845/59368201730 RAOUL WALLENBERG INSTIT</t>
  </si>
  <si>
    <t>IR07801711291156/8700248019900 BAVO EMANUEL MZEE PO 962P.O.BOX 962 00</t>
  </si>
  <si>
    <t>IR07801711292356/8700248019900 BAVO EMANUEL MZEE PO 962P.O.BOX 962 00</t>
  </si>
  <si>
    <t>G0173310890801USD10.00@99.6845/AE030211000000100440032 LG ELECTRONICS</t>
  </si>
  <si>
    <t>SE07801711293658/8708003408904 AMREF HEALTH AFRICA PO 30125P.O BOX 30</t>
  </si>
  <si>
    <t>0688500333FCUSD24415.25@99.6845/833370001 WORLD HEALTH ORGANIZATION-WH</t>
  </si>
  <si>
    <t>Cheque Item deposit 000272</t>
  </si>
  <si>
    <t>Cheque Item deposit 000607</t>
  </si>
  <si>
    <t>Cheque Item deposit 000411</t>
  </si>
  <si>
    <t>Cheque Item deposit 000593</t>
  </si>
  <si>
    <t>Cheque Item deposit 306974</t>
  </si>
  <si>
    <t>EXCISE DUTYG0173310890801</t>
  </si>
  <si>
    <t>EXCISE DUTY 0580700328JM</t>
  </si>
  <si>
    <t>INWARD CLEARING 106976 - 002  --</t>
  </si>
  <si>
    <t>INWARD CLEARING 106928 - 002  --</t>
  </si>
  <si>
    <t>2017112900081492USD4100.00@99.44325/8700213281000 ZAMANITA LIMITED PO</t>
  </si>
  <si>
    <t>2017112900097457USD9802.00@99.44325/8700213281000 ZAMANITA LIMITED PO</t>
  </si>
  <si>
    <t>2017112900097457USD10.00@99.44325/8700213281000 ZAMANITA LIMITED PO 31</t>
  </si>
  <si>
    <t>2017112900081492USD10.00@99.44325/8700213281000 ZAMANITA LIMITED PO 31</t>
  </si>
  <si>
    <t>3733402644/0103126142 POLLEN LIMITED P.O. BOX 1037 -00232 KENYA RUIRUU</t>
  </si>
  <si>
    <t>F51129634597000USD1327.00@99.44325/NL24INGB0705454010 MINISTERIE VAN B</t>
  </si>
  <si>
    <t>F51129634597000USD10.00@99.44325/NL24INGB0705454010 MINISTERIE VAN BUI</t>
  </si>
  <si>
    <t>RTGS through Cheque                               SW09930111700191 PR-000000011521-PR</t>
  </si>
  <si>
    <t>FT17334SV17T/6605330029 1/AUSTRALIAN HIGH COMMISSION 2/RIVERSIDE DRIVE</t>
  </si>
  <si>
    <t>FT17334X2FZ7/1002797336 ANNE PAULINE MWEMBA WANGALACHI P.O.BOX 20987 N</t>
  </si>
  <si>
    <t>Cheque Item deposit 000273</t>
  </si>
  <si>
    <t>Cheque Item deposit 000004</t>
  </si>
  <si>
    <t>Cheque Item deposit 004505</t>
  </si>
  <si>
    <t>Cheque Item deposit 000012</t>
  </si>
  <si>
    <t>Cheque Item deposit 000019</t>
  </si>
  <si>
    <t>Cheque Item deposit 000059</t>
  </si>
  <si>
    <t>Cheque Item deposit 300277</t>
  </si>
  <si>
    <t>Cheque Item deposit 002186</t>
  </si>
  <si>
    <t>Cheque Item deposit 302821</t>
  </si>
  <si>
    <t>Cheque Item deposit 000018</t>
  </si>
  <si>
    <t>Cheque Item deposit 000094</t>
  </si>
  <si>
    <t>Cheque Item deposit 000682</t>
  </si>
  <si>
    <t>Specified period (01-12-2017 - 31-12-2017)</t>
  </si>
  <si>
    <t>Cash Deposit                                      NDUMISO</t>
  </si>
  <si>
    <t>Cash Deposit                                      AHOUSSI</t>
  </si>
  <si>
    <t>Cheque Item deposit 000209</t>
  </si>
  <si>
    <t>RTGS through Cheque                               SWIFTSW09901121700177/PR-000000011648-PR</t>
  </si>
  <si>
    <t>Account Transfer</t>
  </si>
  <si>
    <t>SWIFTSW09901121700228 PR-000000011643-PR          SWIFTSW09901121700228 PR-000000011643-PR</t>
  </si>
  <si>
    <t>RTGSSW09901121700215/PR-000000011522-PR</t>
  </si>
  <si>
    <t>7947700334FCUSD10.00@99.34675/40051573447444 THE TRAVEL COMPANY LIMITE</t>
  </si>
  <si>
    <t>S0673341A27A01USD50.00@99.34675/0104479021 KCSSA EAST AFRICA LIMITED P</t>
  </si>
  <si>
    <t>PAY171130C020536USD38891.40@99.34675/TR790003200000000014249545 1/TURK</t>
  </si>
  <si>
    <t>C538244OCP113017USD1000000.00@99.34675/1109162863 HIGHLIGHT TRAVEL LIM</t>
  </si>
  <si>
    <t>FT173357X9GP/0100003492804 ROBERT BOSCH EAST AFRICA LIMITED P.O BOX 85</t>
  </si>
  <si>
    <t>FT17335M1WZP/0100003492804 ROBERT BOSCH EAST AFRICA LIMITED P.O BOX 85</t>
  </si>
  <si>
    <t>FT173357M7N8/0100003492804 ROBERT BOSCH EAST AFRICA LIMITED P.O BOX 85</t>
  </si>
  <si>
    <t>SE07801712010268/8704023282501 PANNAR SEED (KENYA) LIMITED PO 10383P</t>
  </si>
  <si>
    <t>SE07801712010654/8702042581600 MIH EAST AFRICA LIMITED PO 60406P O BO</t>
  </si>
  <si>
    <t>FT17335642D3/0100003492804 ROBERT BOSCH EAST AFRICA LIMITED P.O BOX 85</t>
  </si>
  <si>
    <t>FT17335JKH7W/0100003492804 ROBERT BOSCH EAST AFRICA LIMITED P.O BOX 85</t>
  </si>
  <si>
    <t>FT1733502KJW/0100003492804 ROBERT BOSCH EAST AFRICA LIMITED P.O BOX 85</t>
  </si>
  <si>
    <t>FT17335QC3WR/0100003492804 ROBERT BOSCH EAST AFRICA LIMITED P.O BOX 85</t>
  </si>
  <si>
    <t>036FT04173350001/0227261684 HUDSON PONYOKO LUSIJI GITANGA RD LAVINGTON</t>
  </si>
  <si>
    <t>7947700334FCUSD9635.00@99.34675/40051573447444 THE TRAVEL COMPANY LIMI</t>
  </si>
  <si>
    <t>C538244OCP113017USD10.00@99.34675/1109162863 HIGHLIGHT TRAVEL LIMITED</t>
  </si>
  <si>
    <t>PAY171130C020536USD10.00@99.34675/TR790003200000000014249545 1/TURK HA</t>
  </si>
  <si>
    <t>S0673341A27A01USD4.00@99.34675/0104479021 KCSSA EAST AFRICA LIMITED P</t>
  </si>
  <si>
    <t>2017113000046882/CRED</t>
  </si>
  <si>
    <t>EXCISE DUTY2017112900081492</t>
  </si>
  <si>
    <t>EXCISE DUTYF51129634597000</t>
  </si>
  <si>
    <t>EXCISE DUTY2017112900097457</t>
  </si>
  <si>
    <t>Cash Deposit                                      WILL - 0721432654</t>
  </si>
  <si>
    <t>SE07801712040074/8706014328400 CENTUM LEARNING LIMITED PO 73146P.O BO</t>
  </si>
  <si>
    <t>3733500675USD935.00@99.395/0104399040 AFRICAN TRADE INSURANCE AGENCY P</t>
  </si>
  <si>
    <t>SE07801712040538/0000000000000000000000870602014950 BHARTI AIRTEL INTE</t>
  </si>
  <si>
    <t>SE07801712041168/8708003408904 AMREF HEALTH AFRICA PO 30125P.O BOX 30</t>
  </si>
  <si>
    <t>3733800425/0101952339 WORLD WIDE FUND FOR NATURE P.O.BOX 62440 - 00200</t>
  </si>
  <si>
    <t>3733800430/0101952029 WORLD WIDE FUND FOR NATURE P.O.BOX 62440 - 00200</t>
  </si>
  <si>
    <t>3733800429/0101952029 WORLD WIDE FUND FOR NATURE P.O.BOX 62440 - 00200</t>
  </si>
  <si>
    <t>FT17338PD006/0100000679733 RENAISSANCE CAPITAL(KENYA) LTD P.O BOX 4056</t>
  </si>
  <si>
    <t>INWARD CLEARING 106981 - 002  --</t>
  </si>
  <si>
    <t>SE07801712040422/8708033625700 C.R.S. USCC KENYA PROGRAM PO 49675P.O.</t>
  </si>
  <si>
    <t>013RTGS173350022/0011085009126601 AFRICAN POPULATION AND HEALTH RESE P</t>
  </si>
  <si>
    <t>Cheque Item deposit 254326</t>
  </si>
  <si>
    <t>exise duty C538244OCP113017</t>
  </si>
  <si>
    <t>exise duty 7947700334FC</t>
  </si>
  <si>
    <t>exise duty S0673341A27A01</t>
  </si>
  <si>
    <t>exise duty PAY171130C020536</t>
  </si>
  <si>
    <t>2017120100043913USD7505.94@99.395/8706020920200 SAMSUNG ELECTRONICS EA</t>
  </si>
  <si>
    <t>SWIFTSW09901121700228</t>
  </si>
  <si>
    <t>022FT10173350019USD3296.00@99.3757/2034481523 DAIMLER COMMERCIAL VEHIC</t>
  </si>
  <si>
    <t>FT17338WRJNV/6605330029 1/AUSTRALIAN HIGH COMMISSION 2/RIVERSIDE DRIVE</t>
  </si>
  <si>
    <t>Cash Deposit                                      SYED</t>
  </si>
  <si>
    <t>SE07801712061376/8706022985000 PRICEWATERHOUSECOOPERS LIMITED. PO 4396</t>
  </si>
  <si>
    <t>3734001139/0101534022 WORLD VISION KENYA P.O BOX 56527-00200 NAIROBI</t>
  </si>
  <si>
    <t>FT17340T0X69/6597680034 1/DEL.OF THE COMM.OF EUROPE COMMIS 2/CBA BUILD</t>
  </si>
  <si>
    <t>Excise Duty2581200340FC/CRED</t>
  </si>
  <si>
    <t>CHARGES 2581200340FC/CRED</t>
  </si>
  <si>
    <t>2581200340FC/CRED</t>
  </si>
  <si>
    <t>2017120600096002USD2558.00@99.15375/0000000000000000000000870441077540</t>
  </si>
  <si>
    <t>2017120600096002USD10.00@99.15375/0000000000000000000000870441077540 A</t>
  </si>
  <si>
    <t>SE07801712071716/0000000000000000000000870602014950 BHARTI AIRTEL INTE</t>
  </si>
  <si>
    <t>SE07801712070572/8706023946300 CHEIL KENYA LIMITED PO 34P.O. BOX 34 -</t>
  </si>
  <si>
    <t>013RTGS173410003/0131135019188739 AU IBAR LIVE 2 AFRICA PO BOX 30786 0</t>
  </si>
  <si>
    <t>FT17341HJPQG1/AUSTRALIAN HIGH COMMISSION</t>
  </si>
  <si>
    <t>INWARD CLEARING 106948 - 002  --</t>
  </si>
  <si>
    <t>INWARD CLEARING 106942 - 002  --</t>
  </si>
  <si>
    <t>INWARD CLEARING 106964 - 002  --</t>
  </si>
  <si>
    <t>3734200668/0103306019 WARTSILA EASTERN AFRICA LTD P.O.BOX 66782 NAIROB</t>
  </si>
  <si>
    <t>FT17342BHQDR/6426970023 1/ASSOCIATED PRESS 2/CVS PLAZA 4TH FLOOR LENAN</t>
  </si>
  <si>
    <t>3734200169/0104256025 OXFAM GB P.O.BOX 40680 - 00100 NAIROBIKENYA THE</t>
  </si>
  <si>
    <t>3734201511/0101534022 WORLD VISION KENYA P.O BOX 56527-00200 NAIROBI</t>
  </si>
  <si>
    <t>FT173421QNBV/0100000199111 WORLD ORG.OF THE SCOUT MOVEMENT- P O BOX 63</t>
  </si>
  <si>
    <t>013RTGS173420004/0131135019188739 AU IBAR LIVE 2 AFRICA PO BOX 30786 0</t>
  </si>
  <si>
    <t>SW09908121700128 PR-000000012482-PR               SW09908121700128 PR-000000012482-PR</t>
  </si>
  <si>
    <t>International Payment Account                     SW09908121700196/EDMS 12484</t>
  </si>
  <si>
    <t>Account Transfer By Cheque</t>
  </si>
  <si>
    <t>Cash Deposit                                      STELLA</t>
  </si>
  <si>
    <t>Cash Deposit                                      MPIMA</t>
  </si>
  <si>
    <t>F51208698176000USD751.00@99.44325/NL24INGB0705454010 MINISTERIE VAN BU</t>
  </si>
  <si>
    <t>S0673421529801USD1647.00@99.44325/0104330012 KENYA CUTTINGS LIMITED P.</t>
  </si>
  <si>
    <t>EM0612003887035IUSD1556.00@99.44325/NL95ABNA0570627346 1/S. CAMMELBEEC</t>
  </si>
  <si>
    <t>F51208698176000USD7.51@99.44325/NL24INGB0705454010 MINISTERIE VAN BUIT</t>
  </si>
  <si>
    <t>FT17345TG5X2/7881820049 1/WORLD WIDE FUND FOR NATURE 2/THE MVULI HSE M</t>
  </si>
  <si>
    <t>077FT04173450065/0227320133 INDUSTRIAL PROMOTION SERVICES (KENY LR NO.</t>
  </si>
  <si>
    <t>3734501993/0101534022 WORLD VISION KENYA P.O BOX 56527-00200 NAIROBI</t>
  </si>
  <si>
    <t>UNPAID 106964 - 002 40 Amount In Words And Fi</t>
  </si>
  <si>
    <t>INWARD CLEARING 106952 - 002  --</t>
  </si>
  <si>
    <t>INWARD CLEARING 106945 - 002  --</t>
  </si>
  <si>
    <t>INWARD CLEARING 106953 - 002  --</t>
  </si>
  <si>
    <t>3734701548/0103125014 PHILIPS EAST AFRICA LIMITED P.O. BOX 39764-00623</t>
  </si>
  <si>
    <t>6569600345FCUSD3073.00@99.44325/0131135019188703 AU IBAR ADMIN COST PO</t>
  </si>
  <si>
    <t>6746000346FCUSD4383.00@99.44325/36291188 AIDSPAN ATTN.WAMBUI MUNENE P.</t>
  </si>
  <si>
    <t>8025800345FCUSD791.00@99.44325/0131135019188703 AU IBAR ADMIN COST PO</t>
  </si>
  <si>
    <t>6476400345FCUSD30.00@99.44325/0131135019188731 AU- IBAR FISH GOVERANCE</t>
  </si>
  <si>
    <t>6484300345FCUSD1969.00@99.44325/0131135019188721 AU- IBAR ANIMAL GENET</t>
  </si>
  <si>
    <t>8017900345FCUSD40.00@99.44325/0131135019188703 AU IBAR ADMIN COST PO B</t>
  </si>
  <si>
    <t>8025100345FCUSD15.00@99.44325/0131135019188731 AU- IBAR FISH GOVERANCE</t>
  </si>
  <si>
    <t>6480400345FCUSD1226.00@99.44325/0131135019188721 AU- IBAR ANIMAL GENET</t>
  </si>
  <si>
    <t>8011800345FCUSD795.00@99.44325/0131135019188723 AU- IBAR BEE MANAGEMEN</t>
  </si>
  <si>
    <t>6489100345FCUSD1049.00@99.44325/0131135019188731 AU- IBAR FISH GOVERAN</t>
  </si>
  <si>
    <t>6487300345FCUSD2515.00@99.44325/0131135019188723 AU- IBAR BEE MANAGEME</t>
  </si>
  <si>
    <t>2320900346FCUSD557.00@99.44325/0011013809131301 AIRTEL RWANDA LIMITED</t>
  </si>
  <si>
    <t>022FT10173450059USD220.00@99.44325/2034481523 DAIMLER COMMERCIAL VEHIC</t>
  </si>
  <si>
    <t>SE07801712133266/8702042581600 MIH EAST AFRICA LIMITED PO 60406P O BO</t>
  </si>
  <si>
    <t>6746000346FCUSD10.00@99.44325/36291188 AIDSPAN ATTN.WAMBUI MUNENE P.O.</t>
  </si>
  <si>
    <t>6569600345FCUSD10.00@99.44325/0131135019188703 AU IBAR ADMIN COST PO B</t>
  </si>
  <si>
    <t>2320900346FCUSD5.57@99.44325/0011013809131301 AIRTEL RWANDA LIMITED KA</t>
  </si>
  <si>
    <t>6487300345FCUSD10.00@99.44325/0131135019188723 AU- IBAR BEE MANAGEMENT</t>
  </si>
  <si>
    <t>6489100345FCUSD10.00@99.44325/0131135019188731 AU- IBAR FISH GOVERANCE</t>
  </si>
  <si>
    <t>8011800345FCUSD7.95@99.44325/0131135019188723 AU- IBAR BEE MANAGEMENT</t>
  </si>
  <si>
    <t>6480400345FCUSD10.00@99.44325/0131135019188721 AU- IBAR ANIMAL GENETIC</t>
  </si>
  <si>
    <t>8025100345FCUSD4.00@99.44325/0131135019188731 AU- IBAR FISH GOVERANCE</t>
  </si>
  <si>
    <t>8017900345FCUSD4.00@99.44325/0131135019188703 AU IBAR ADMIN COST PO BO</t>
  </si>
  <si>
    <t>6484300345FCUSD10.00@99.44325/0131135019188721 AU- IBAR ANIMAL GENETIC</t>
  </si>
  <si>
    <t>6476400345FCUSD4.00@99.44325/0131135019188731 AU- IBAR FISH GOVERANCE</t>
  </si>
  <si>
    <t>8025800345FCUSD7.91@99.44325/0131135019188703 AU IBAR ADMIN COST PO BO</t>
  </si>
  <si>
    <t>SE07801712133816/8708003408900 AMREF HEALTH AFRICA PO 30125P.O BOX 30</t>
  </si>
  <si>
    <t>FT173473246D/6597680034 1/DEL.OF THE COMM.OF EUROPE COMMIS 2/CBA BUILD</t>
  </si>
  <si>
    <t>SE07801712133856/8708003408900 AMREF HEALTH AFRICA PO 30125P.O BOX 30</t>
  </si>
  <si>
    <t>SE07801712133854/8708003408900 AMREF HEALTH AFRICA PO 30125P.O BOX 30</t>
  </si>
  <si>
    <t>0848000347FCUSD70769.00@99.44325/833370001 WORLD HEALTH ORGANIZATION-W</t>
  </si>
  <si>
    <t>Cheque Item deposit 000597</t>
  </si>
  <si>
    <t>Cheque Item deposit 000256</t>
  </si>
  <si>
    <t>Cheque Item deposit 531001</t>
  </si>
  <si>
    <t>C769961OCP121317USD10.00@99.53975/1109162863 HIGHLIGHT TRAVEL LIMITED</t>
  </si>
  <si>
    <t>C771996OCP121317USD10.00@99.53975/1109162863 HIGHLIGHT TRAVEL LIMITED</t>
  </si>
  <si>
    <t>C772045OCP121317USD10.00@99.53975/1109162863 HIGHLIGHT TRAVEL LIMITED</t>
  </si>
  <si>
    <t>FT17347JTYVK/6605330029 1/AUSTRALIAN HIGH COMMISSION 2/RIVERSIDE DRIVE</t>
  </si>
  <si>
    <t>3734800770/0101952339 WORLD WIDE FUND FOR NATURE P.O.BOX 62440 - 00200</t>
  </si>
  <si>
    <t>SE07801712141446/8708003408904 AMREF HEALTH AFRICA PO 30125P.O BOX 30</t>
  </si>
  <si>
    <t>3734801823/0104256025 OXFAM GB P.O.BOX 40680 - 00100 NAIROBIKENYA THE</t>
  </si>
  <si>
    <t>C769961OCP121317USD1000000.00@99.53975/1109162863 HIGHLIGHT TRAVEL LIM</t>
  </si>
  <si>
    <t>PET505348347USD2119.00@99.53975/GB44BARC20015883888477 GUARANTCO MANAG</t>
  </si>
  <si>
    <t>C771996OCP121317USD99955.00@99.53975/1109162863 HIGHLIGHT TRAVEL LIMIT</t>
  </si>
  <si>
    <t>C772045OCP121317USD200000.00@99.53975/1109162863 HIGHLIGHT TRAVEL LIMI</t>
  </si>
  <si>
    <t>013RTGS173480002/0131135019188738 AU-AFRICAN INSTITUTE FOR REMITTANC P</t>
  </si>
  <si>
    <t>005RCUS141217002/0500093007 THE  AGA KHAN UNIVERSITY HOSP.NBI CERT OF</t>
  </si>
  <si>
    <t>International Payment Account                     SW09914121700023/EDMS 13008</t>
  </si>
  <si>
    <t>RTGS through Cheque                               SW09914121700145 PR-000000013093-PR</t>
  </si>
  <si>
    <t>RTGS through Cheque                               SW09914121700148 PR-000000013094-PR</t>
  </si>
  <si>
    <t>Cash Deposit                                      OBED 0780334704</t>
  </si>
  <si>
    <t>3734804776/0103306019 WARTSILA EASTERN AFRICA LTD P.O.BOX 66782 NAIROB</t>
  </si>
  <si>
    <t>013RTGS173480011/AU IBAR ADMIN COST</t>
  </si>
  <si>
    <t>Cheque Item deposit 000021</t>
  </si>
  <si>
    <t>Cheque Item deposit 000171</t>
  </si>
  <si>
    <t>Cheque Item deposit 000179</t>
  </si>
  <si>
    <t>INWARD CLEARING 106944 - 002  --</t>
  </si>
  <si>
    <t>S0673481196101USD31894.00@99.588/0104281014 GENERAL CONFERENCE COPRORA</t>
  </si>
  <si>
    <t>FT17349MH01B/0100000679733 RENAISSANCE CAPITAL(KENYA) LTD P.O BOX 4056</t>
  </si>
  <si>
    <t>SE07801712152770/8708003408904 AMREF HEALTH AFRICA PO 30125P.O BOX 30</t>
  </si>
  <si>
    <t>094FT04173490016/2032616820 HIGHLIGHT TRAVEL LIMITED TRANS NATIONAL PL</t>
  </si>
  <si>
    <t>SE07801712152690/8708003408904 AMREF HEALTH AFRICA PO 30125P.O BOX 30</t>
  </si>
  <si>
    <t>SWIFTSW09915121700257/PR-000000013272-PR          SWIFTSW09915121700257/PR-000000013272-PR</t>
  </si>
  <si>
    <t>3734904201/0101534022 WORLD VISION KENYA P.O BOX 56527-00200 NAIROBI</t>
  </si>
  <si>
    <t>3734904202/0101534022 WORLD VISION KENYA P.O BOX 56527-00200 NAIROBI</t>
  </si>
  <si>
    <t>3734904204/0101534022 WORLD VISION KENYA P.O BOX 56527-00200 NAIROBI</t>
  </si>
  <si>
    <t>0713500349FCUSD6825.00@99.588/833370001 WORLD HEALTH ORGANIZATION-WHO</t>
  </si>
  <si>
    <t>Cash Deposit                                      ANA</t>
  </si>
  <si>
    <t>Cheque Item deposit 000062</t>
  </si>
  <si>
    <t>Cheque Item deposit 301010</t>
  </si>
  <si>
    <t>Cheque Item deposit 100029</t>
  </si>
  <si>
    <t>Cheque Item deposit 100028</t>
  </si>
  <si>
    <t>3735200538/0104220029 AMADEUS GLOBAL TRAVEL DISTRIBUTION P.O.BOX 6680</t>
  </si>
  <si>
    <t>6896700349FCUSD10.00@99.4915/0131135019188729 AU IBAR IMPROVING ANIMAL</t>
  </si>
  <si>
    <t>6895800349FCUSD5.23@99.4915/0131135019188701 AFRICAN UNION- IBAR PO BO</t>
  </si>
  <si>
    <t>7237300349FCUSD10.00@99.4915/0131135019188703 AU IBAR ADMIN COST PO BO</t>
  </si>
  <si>
    <t>7231000349FCUSD10.00@99.4915/0131135019188731 AU- IBAR FISH GOVERANCE</t>
  </si>
  <si>
    <t>6895800349FCUSD523.00@99.4915/0131135019188701 AFRICAN UNION- IBAR PO</t>
  </si>
  <si>
    <t>6896700349FCUSD4942.00@99.4915/0131135019188729 AU IBAR IMPROVING ANIM</t>
  </si>
  <si>
    <t>3734900679USD1425.00@99.4915/0104399040 AFRICAN TRADE INSURANCE AGENCY</t>
  </si>
  <si>
    <t>S0673490169701USD318.00@99.4915/0104399040 AFRICAN TRADE INSURANCE AGE</t>
  </si>
  <si>
    <t>7237300349FCUSD14458.00@99.4915/0131135019188703 AU IBAR ADMIN COST PO</t>
  </si>
  <si>
    <t>7231000349FCUSD11655.00@99.4915/0131135019188731 AU- IBAR FISH GOVERAN</t>
  </si>
  <si>
    <t>3735201062/0300050088 SAFARICOM LTD P.O.BOX 66827-00800 NAIROBIKENYAU</t>
  </si>
  <si>
    <t>3735201844/0101119025 WORLD VISION - SOMALIA P.O BOX 56527-00200 NAIRO</t>
  </si>
  <si>
    <t>3735201872/0101119025 WORLD VISION - SOMALIA P.O BOX 56527-00200 NAIRO</t>
  </si>
  <si>
    <t>4265300352FCUSD10.00@99.4915/0131135019188731 AU- IBAR FISH GOVERANCE</t>
  </si>
  <si>
    <t>SE07801712182670/8708033625700 C.R.S. USCC KENYA PROGRAM PO 49675P.O.</t>
  </si>
  <si>
    <t>SE07801712182666/8708033625700 C.R.S. USCC KENYA PROGRAM PO 49675P.O.</t>
  </si>
  <si>
    <t>4265300352FCUSD1293.00@99.4915/0131135019188731 AU- IBAR FISH GOVERANC</t>
  </si>
  <si>
    <t>FT17352F0L8S/1000397497 1/JOHN AJIMA OYOLLA 2/P.O. BOX 1268 3/KE/NAIRO</t>
  </si>
  <si>
    <t>8110700352FCUSD4.00@99.395/0131135019188725 AU-IBAR REINFORCING ANIMAL</t>
  </si>
  <si>
    <t>7956700352FCUSD10.00@99.395/0131135019188723 AU- IBAR BEE MANAGEMENT P</t>
  </si>
  <si>
    <t>6859000352FCUSD4.78@99.395/0011013809131301 AIRTEL RWANDA LIMITED KACY</t>
  </si>
  <si>
    <t>7955300352FCUSD10.00@99.395/0131135019188703 AU IBAR ADMIN COST PO BOX</t>
  </si>
  <si>
    <t>4261200352FCUSD8.46@99.395/0131135019188721 AU- IBAR ANIMAL GENETICS P</t>
  </si>
  <si>
    <t>7954700352FCUSD10.00@99.395/0131135019188729 AU IBAR IMPROVING ANIMAL</t>
  </si>
  <si>
    <t>4273300352FCUSD4.00@99.395/0131135019188706 AU IBAR VETERNARY GOVERANC</t>
  </si>
  <si>
    <t>7956100352FCUSD4.00@99.395/0131135019188729 AU IBAR IMPROVING ANIMAL D</t>
  </si>
  <si>
    <t>4279100352FCUSD10.00@99.395/0131135019188703 AU IBAR ADMIN COST PO BOX</t>
  </si>
  <si>
    <t>4279100352FCUSD6467.00@99.395/0131135019188703 AU IBAR ADMIN COST PO B</t>
  </si>
  <si>
    <t>7956100352FCUSD335.00@99.395/0131135019188729 AU IBAR IMPROVING ANIMAL</t>
  </si>
  <si>
    <t>4273300352FCUSD155.00@99.395/0131135019188706 AU IBAR VETERNARY GOVERA</t>
  </si>
  <si>
    <t>F3S1712148166800USD6900.00@99.395/59368201730 RAOUL WALLENBERG INSTITU</t>
  </si>
  <si>
    <t>7954700352FCUSD7423.00@99.395/0131135019188729 AU IBAR IMPROVING ANIMA</t>
  </si>
  <si>
    <t>4261200352FCUSD846.00@99.395/0131135019188721 AU- IBAR ANIMAL GENETICS</t>
  </si>
  <si>
    <t>7955300352FCUSD5111.00@99.395/0131135019188703 AU IBAR ADMIN COST PO B</t>
  </si>
  <si>
    <t>6859000352FCUSD478.00@99.395/0011013809131301 AIRTEL RWANDA LIMITED KA</t>
  </si>
  <si>
    <t>7956700352FCUSD1288.00@99.395/0131135019188723 AU- IBAR BEE MANAGEMENT</t>
  </si>
  <si>
    <t>8110700352FCUSD15.00@99.395/0131135019188725 AU-IBAR REINFORCING ANIMA</t>
  </si>
  <si>
    <t>SE07801712194274/0000000000000000000000870602014950 BHARTI AIRTEL INTE</t>
  </si>
  <si>
    <t>013RTGS173530025/0131135019188739 AU IBAR LIVE 2 AFRICA PO BOX 30786 0</t>
  </si>
  <si>
    <t>013RTGS173530023/0011085009126601 AFRICAN POPULATION AND HEALTH RESE P</t>
  </si>
  <si>
    <t>FT17353YM335/1000397497 1/JOHN AJIMA OYOLLA 2/P.O. BOX 1268 3/KE/NAIRO</t>
  </si>
  <si>
    <t>2017121800063413USD2152.64@99.395/8706020920201 SAMSUNG ELECTRONICS EA</t>
  </si>
  <si>
    <t>4813400353FCUSD10.00@99.44325/0131135019188721 AU- IBAR ANIMAL GENETIC</t>
  </si>
  <si>
    <t>FT173548Z8WN/7881820049 1/WORLD WIDE FUND FOR NATURE 2/THE MVULI HSE M</t>
  </si>
  <si>
    <t>4813400353FCUSD87881.00@99.44325/0131135019188721 AU- IBAR ANIMAL GENE</t>
  </si>
  <si>
    <t>HBKG17L18O511737USD6708.00@99.44325/0304044194 CADG ENGINEERING PTE LT</t>
  </si>
  <si>
    <t>SWIFTSW09920121700081/PR-000000013238-PR          SWIFTSW09920121700081/PR-000000013238-PR</t>
  </si>
  <si>
    <t>SE07801712203214/8708003408900 AMREF HEALTH AFRICA PO 30125P.O BOX 30</t>
  </si>
  <si>
    <t>013RTGS173540001/0131135019188739 AU IBAR LIVE 2 AFRICA PO BOX 30786 0</t>
  </si>
  <si>
    <t>FT17354V7V43/0100000679733 RENAISSANCE CAPITAL(KENYA) LTD P.O BOX 4056</t>
  </si>
  <si>
    <t>0464700354FCUSD18717.00@99.44325/833370001 WORLD HEALTH ORGANIZATION-W</t>
  </si>
  <si>
    <t>Cheque Item deposit 000275</t>
  </si>
  <si>
    <t>Cheque Item deposit 010033</t>
  </si>
  <si>
    <t>Cheque Item deposit 000022</t>
  </si>
  <si>
    <t>Cheque Item deposit 000009</t>
  </si>
  <si>
    <t>IR07801712210226/8700125935800 PAMELA ATIENO PO 10787P.O BOX 10787-00</t>
  </si>
  <si>
    <t>7144900354FCUSD13031.00@99.34675/36291188 AIDSPAN ATTN.WAMBUI MUNENE P</t>
  </si>
  <si>
    <t>7144900354FCUSD10.00@99.34675/36291188 AIDSPAN ATTN.WAMBUI MUNENE P.O.</t>
  </si>
  <si>
    <t>3735501074/0103125014 PHILIPS EAST AFRICA LIMITED P.O. BOX 39764-00623</t>
  </si>
  <si>
    <t>3241900355FCUSD353.00@99.34675/0011013809131301 AIRTEL RWANDA LIMITED</t>
  </si>
  <si>
    <t>3241900355FCUSD4.00@99.34675/0011013809131301 AIRTEL RWANDA LIMITED KA</t>
  </si>
  <si>
    <t>4714600355FCUSD10661.00@99.34675/0131135019188703 AU IBAR ADMIN COST P</t>
  </si>
  <si>
    <t>4714600355FCUSD10.00@99.34675/0131135019188703 AU IBAR ADMIN COST PO B</t>
  </si>
  <si>
    <t>036FT04173550002/0227261684 HUDSON PONYOKO LUSIJI GITANGA RD LAVINGTON</t>
  </si>
  <si>
    <t>FT17355T6225/7881820049 1/WORLD WIDE FUND FOR NATURE 2/THE MVULI HSE M</t>
  </si>
  <si>
    <t>Cheque Item deposit 106987</t>
  </si>
  <si>
    <t>FT17355LGPVK1/AUSTRALIAN HIGH COMMISSION</t>
  </si>
  <si>
    <t>C367085OCP122017USD3076.00@99.34675/NL95ABNA0570627346 1/S. CAMMELBEEC</t>
  </si>
  <si>
    <t>2017122000048578USD15918.56@99.34675/8706020920201 SAMSUNG ELECTRONICS</t>
  </si>
  <si>
    <t>2017122000049883USD7080.60@99.34675/8706020920200 SAMSUNG ELECTRONICS</t>
  </si>
  <si>
    <t>FT17355YXKGH1/KATHARINE JANE DOWNIE</t>
  </si>
  <si>
    <t>S0673552182401USD23789.00@99.34675/0104399040 AFRICAN TRADE INSURANCE</t>
  </si>
  <si>
    <t>2017122100052955USD1565.00@99.34675/8700213281000 ZAMANITA LIMITED PO</t>
  </si>
  <si>
    <t>2017122100052955USD10.00@99.34675/8700213281000 ZAMANITA LIMITED PO 31</t>
  </si>
  <si>
    <t>SE07801712221710/8704003650100 WORLD VISION INT KENYA PO 50816P.O.BOX</t>
  </si>
  <si>
    <t>SE07801712221714/8704003650100 WORLD VISION INT KENYA PO 50816P.O.BOX</t>
  </si>
  <si>
    <t>SE07801712221718/8704003650100 WORLD VISION INT KENYA PO 50816P.O.BOX</t>
  </si>
  <si>
    <t>SE07801712221716/8704003650100 WORLD VISION INT KENYA PO 50816P.O.BOX</t>
  </si>
  <si>
    <t>SE07801712221712/8704003650100 WORLD VISION INT KENYA PO 50816P.O.BOX</t>
  </si>
  <si>
    <t>3735600980/0104256025 OXFAM GB P.O.BOX 40680 - 00100 NAIROBIKENYA THE</t>
  </si>
  <si>
    <t>022FT10173540028USD1085.00@99.34675/2034481523 DAIMLER COMMERCIAL VEHI</t>
  </si>
  <si>
    <t>4710800355FCUSD3250.00@99.34675/0131135019188701 AFRICAN UNION- IBAR P</t>
  </si>
  <si>
    <t>4710800355FCUSD10.00@99.34675/0131135019188701 AFRICAN UNION- IBAR PO</t>
  </si>
  <si>
    <t>Cash Deposit                                      maina</t>
  </si>
  <si>
    <t>3735605565/0101119025 WORLD VISION - SOMALIA P.O BOX 56527-00200 NAIRO</t>
  </si>
  <si>
    <t>3735605656/0101534022 WORLD VISION KENYA P.O BOX 56527-00200 NAIROBI</t>
  </si>
  <si>
    <t>3735605661/0101534022 WORLD VISION KENYA P.O BOX 56527-00200 NAIROBI</t>
  </si>
  <si>
    <t>3735605662/0101534022 WORLD VISION KENYA P.O BOX 56527-00200 NAIROBI</t>
  </si>
  <si>
    <t>3735605664/0101534022 WORLD VISION KENYA P.O BOX 56527-00200 NAIROBI</t>
  </si>
  <si>
    <t>Reversal:Cash Deposit                                      maina</t>
  </si>
  <si>
    <t>2017122100069745USD12510.67@99.34675/8706020920200 SAMSUNG ELECTRONICS</t>
  </si>
  <si>
    <t>0823600356FCUSD5695.00@99.34675/833370001 WORLD HEALTH ORGANIZATION-WH</t>
  </si>
  <si>
    <t>International Payment Account                     SW09922121700334/EDMS 14100</t>
  </si>
  <si>
    <t>Cheque Item deposit 302870</t>
  </si>
  <si>
    <t>Cheque Item deposit 302871</t>
  </si>
  <si>
    <t>Cheque Item deposit 002475</t>
  </si>
  <si>
    <t>Cheque Item deposit 002500</t>
  </si>
  <si>
    <t>Cheque Item deposit 000686</t>
  </si>
  <si>
    <t>Cheque Item deposit 000033</t>
  </si>
  <si>
    <t>Cheque Item deposit 000170</t>
  </si>
  <si>
    <t>Cheque Item deposit 500368</t>
  </si>
  <si>
    <t>INWARD CLEARING 106965 - 002  --</t>
  </si>
  <si>
    <t>INWARD CLEARING 106989 - 002  --</t>
  </si>
  <si>
    <t>FT17356M4MNP/6596790028 1/UNITED BSA DESIGNATED FUND LTD-NR 2/NAIROBI</t>
  </si>
  <si>
    <t>FT17356B5T4K/6597680034 1/DEL.OF THE COMM.OF EUROPE COMMIS 2/CBA BUILD</t>
  </si>
  <si>
    <t>C778664OCP122217USD450000.00@99.34675/1109162863 HIGHLIGHT TRAVEL LIMI</t>
  </si>
  <si>
    <t>7458500356FCUSD15.00@99.34675/0131135019188736 AFRICAN UNION- IBAR ESO</t>
  </si>
  <si>
    <t>7497900356FCUSD1265.00@99.34675/CH0800279279C71110030 1/MANEESH WADHWA</t>
  </si>
  <si>
    <t>C778664OCP122217USD10.00@99.34675/1109162863 HIGHLIGHT TRAVEL LIMITED</t>
  </si>
  <si>
    <t>7497900356FCUSD10.00@99.34675/CH0800279279C71110030 1/MANEESH WADHWA 1</t>
  </si>
  <si>
    <t>7458500356FCUSD4.00@99.34675/0131135019188736 AFRICAN UNION- IBAR ESOL</t>
  </si>
  <si>
    <t>FT17361QTVFM/0100003492804 ROBERT BOSCH EAST AFRICA LIMITED P.O BOX 85</t>
  </si>
  <si>
    <t>3762993945USD9000.00@99.34675/1201-5007164-01-55 MILES TRAVEL SPRL 3 A</t>
  </si>
  <si>
    <t>FT17361HV0W3CADBURY KENYA LIMITED</t>
  </si>
  <si>
    <t>3736102045USD23455.00@99.4915/0104281014 GENERAL CONFERENCE COPRORATIO</t>
  </si>
  <si>
    <t>RTGS through Cheque                               SW09928121700066/EDMS 14352</t>
  </si>
  <si>
    <t>RTGS through Cheque                               SW09928121700068/EDMS 14353</t>
  </si>
  <si>
    <t>013RTGS173620012/0131135019188738 AU-AFRICAN INSTITUTE FOR REMITTANC P</t>
  </si>
  <si>
    <t>SWIFTSW09928121700156/PR-000000014415-PR          SWIFTSW09928121700156/PR-000000014415-PR</t>
  </si>
  <si>
    <t>094FT04173620031/2032616820 HIGHLIGHT TRAVEL LIMITED TRANS NATIONAL PL</t>
  </si>
  <si>
    <t>2017122700133605USD41236.39@99.4915/8706020920200 SAMSUNG ELECTRONICS</t>
  </si>
  <si>
    <t>Cheque Item deposit 000048</t>
  </si>
  <si>
    <t>Cheque Item deposit 000103</t>
  </si>
  <si>
    <t>Cheque Item deposit 000008</t>
  </si>
  <si>
    <t>Reversal Cheque Item deposit 000103</t>
  </si>
  <si>
    <t>3736300111/0104393023 LG ELECTRONICS AFRICA LOGISTICS FZE P.O BOX 505</t>
  </si>
  <si>
    <t>FT173621KPV7/0100004220018 HIGHLIGHT TRAVEL LIMITED T/A BCD P.O BOX 10</t>
  </si>
  <si>
    <t>4762200363FCUSD8866.00@99.4915/0131135019188721 AU- IBAR ANIMAL GENETI</t>
  </si>
  <si>
    <t>4762200363FCUSD10.00@99.4915/0131135019188721 AU- IBAR ANIMAL GENETICS</t>
  </si>
  <si>
    <t>2017122900048417USD8183.20@99.4915/8706020920200 SAMSUNG ELECTRONICS E</t>
  </si>
  <si>
    <t>Cheque Item deposit 002416</t>
  </si>
  <si>
    <t>Cheque Item deposit 254329</t>
  </si>
  <si>
    <t>Cheque Item deposit 001030</t>
  </si>
  <si>
    <t>Cheque Item deposit 000024</t>
  </si>
  <si>
    <t>Cheque Item deposit 000003</t>
  </si>
  <si>
    <t>Cheque Item deposit 300324</t>
  </si>
  <si>
    <t>Cheque Item deposit 000085</t>
  </si>
  <si>
    <t>Cheque Item deposit 000037</t>
  </si>
  <si>
    <t>Cheque Item deposit 000196</t>
  </si>
  <si>
    <t>Cheque Item deposit 304498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</si>
</sst>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" fontId="0" fillId="0" borderId="0" xfId="0" applyNumberFormat="1"/>
    <xf numFmtId="15" fontId="0" fillId="0" borderId="0" xfId="0" applyNumberFormat="1"/>
    <xf numFmtId="43" fontId="0" fillId="0" borderId="0" xfId="1" applyFont="1"/>
    <xf numFmtId="0" fontId="2" fillId="0" borderId="0" xfId="0" applyFont="1"/>
    <xf numFmtId="43" fontId="2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7"/>
  <sheetViews>
    <sheetView tabSelected="1" topLeftCell="A412" workbookViewId="0">
      <selection activeCell="D335" sqref="D335"/>
    </sheetView>
  </sheetViews>
  <sheetFormatPr defaultRowHeight="15" x14ac:dyDescent="0.25"/>
  <cols>
    <col min="1" max="1" width="15" customWidth="1"/>
    <col min="2" max="2" width="15.42578125" bestFit="1" customWidth="1"/>
    <col min="3" max="3" width="29.5703125" customWidth="1"/>
    <col min="4" max="4" width="89.28515625" bestFit="1" customWidth="1"/>
    <col min="5" max="5" width="12.140625" customWidth="1"/>
    <col min="6" max="6" width="10.140625" bestFit="1" customWidth="1"/>
    <col min="7" max="7" width="11.7109375" bestFit="1" customWidth="1"/>
  </cols>
  <sheetData>
    <row r="3" spans="1:7" x14ac:dyDescent="0.25">
      <c r="B3" t="s">
        <v>0</v>
      </c>
    </row>
    <row r="7" spans="1:7" x14ac:dyDescent="0.25">
      <c r="A7" t="s">
        <v>1</v>
      </c>
      <c r="B7">
        <v>107347</v>
      </c>
    </row>
    <row r="8" spans="1:7" x14ac:dyDescent="0.25">
      <c r="A8" t="s">
        <v>2</v>
      </c>
      <c r="B8" t="str">
        <f>"02020010734700"</f>
        <v>02020010734700</v>
      </c>
    </row>
    <row r="9" spans="1:7" x14ac:dyDescent="0.25">
      <c r="A9" t="s">
        <v>3</v>
      </c>
      <c r="B9" t="s">
        <v>4</v>
      </c>
    </row>
    <row r="10" spans="1:7" x14ac:dyDescent="0.25">
      <c r="A10" t="s">
        <v>5</v>
      </c>
      <c r="B10" s="1">
        <v>202702.23</v>
      </c>
    </row>
    <row r="11" spans="1:7" x14ac:dyDescent="0.25">
      <c r="A11" t="s">
        <v>6</v>
      </c>
      <c r="B11" s="1">
        <v>184664.23</v>
      </c>
    </row>
    <row r="14" spans="1:7" x14ac:dyDescent="0.25">
      <c r="A14" t="s">
        <v>324</v>
      </c>
    </row>
    <row r="16" spans="1:7" x14ac:dyDescent="0.25">
      <c r="A16" t="s">
        <v>8</v>
      </c>
      <c r="B16" t="s">
        <v>9</v>
      </c>
      <c r="C16" t="s">
        <v>10</v>
      </c>
      <c r="D16" t="s">
        <v>11</v>
      </c>
      <c r="E16" t="s">
        <v>12</v>
      </c>
      <c r="F16" t="s">
        <v>13</v>
      </c>
      <c r="G16" t="s">
        <v>14</v>
      </c>
    </row>
    <row r="17" spans="1:7" x14ac:dyDescent="0.25">
      <c r="A17" s="2">
        <v>42948</v>
      </c>
      <c r="B17" s="2">
        <v>42948</v>
      </c>
      <c r="C17" t="str">
        <f>"8MXB106B24ACROY"</f>
        <v>8MXB106B24ACROY</v>
      </c>
      <c r="D17" t="s">
        <v>325</v>
      </c>
      <c r="F17" s="1">
        <v>1252</v>
      </c>
      <c r="G17" s="1">
        <v>803277.48</v>
      </c>
    </row>
    <row r="18" spans="1:7" x14ac:dyDescent="0.25">
      <c r="A18" s="2">
        <v>42948</v>
      </c>
      <c r="B18" s="2">
        <v>42948</v>
      </c>
      <c r="C18" t="str">
        <f>"S9LQJNN6DI49PNO"</f>
        <v>S9LQJNN6DI49PNO</v>
      </c>
      <c r="D18" t="s">
        <v>326</v>
      </c>
      <c r="F18">
        <v>980</v>
      </c>
      <c r="G18" s="1">
        <v>804257.48</v>
      </c>
    </row>
    <row r="19" spans="1:7" x14ac:dyDescent="0.25">
      <c r="A19" s="2">
        <v>42948</v>
      </c>
      <c r="B19" s="2">
        <v>42948</v>
      </c>
      <c r="C19" t="str">
        <f>"S9LQJNN6DI49PNO"</f>
        <v>S9LQJNN6DI49PNO</v>
      </c>
      <c r="D19" t="s">
        <v>327</v>
      </c>
      <c r="F19" s="1">
        <v>1528</v>
      </c>
      <c r="G19" s="1">
        <v>805785.48</v>
      </c>
    </row>
    <row r="20" spans="1:7" x14ac:dyDescent="0.25">
      <c r="A20" s="2">
        <v>42948</v>
      </c>
      <c r="B20" s="2">
        <v>42948</v>
      </c>
      <c r="C20" t="str">
        <f>"U1A629XGQZ0BZUL"</f>
        <v>U1A629XGQZ0BZUL</v>
      </c>
      <c r="D20" t="s">
        <v>328</v>
      </c>
      <c r="E20">
        <v>10</v>
      </c>
      <c r="G20" s="1">
        <v>805775.48</v>
      </c>
    </row>
    <row r="21" spans="1:7" x14ac:dyDescent="0.25">
      <c r="A21" s="2">
        <v>42948</v>
      </c>
      <c r="B21" s="2">
        <v>42948</v>
      </c>
      <c r="C21" t="str">
        <f>"20170801112548561"</f>
        <v>20170801112548561</v>
      </c>
      <c r="D21" t="s">
        <v>329</v>
      </c>
      <c r="E21" s="1">
        <v>12978.92</v>
      </c>
      <c r="G21" s="1">
        <v>792796.56</v>
      </c>
    </row>
    <row r="22" spans="1:7" x14ac:dyDescent="0.25">
      <c r="A22" s="2">
        <v>42948</v>
      </c>
      <c r="B22" s="2">
        <v>42948</v>
      </c>
      <c r="C22" t="str">
        <f>"9908012017FNOB000"</f>
        <v>9908012017FNOB000</v>
      </c>
      <c r="D22" t="s">
        <v>330</v>
      </c>
      <c r="E22">
        <v>1</v>
      </c>
      <c r="G22" s="1">
        <v>792795.56</v>
      </c>
    </row>
    <row r="23" spans="1:7" x14ac:dyDescent="0.25">
      <c r="A23" s="2">
        <v>42948</v>
      </c>
      <c r="B23" s="2">
        <v>42948</v>
      </c>
      <c r="C23" t="str">
        <f>"OUTGOING SWIFT SW09901081740045SN147421/"</f>
        <v>OUTGOING SWIFT SW09901081740045SN147421/</v>
      </c>
      <c r="D23" t="s">
        <v>331</v>
      </c>
      <c r="E23" s="1">
        <v>1301</v>
      </c>
      <c r="G23" s="1">
        <v>791494.56</v>
      </c>
    </row>
    <row r="24" spans="1:7" x14ac:dyDescent="0.25">
      <c r="A24" s="2">
        <v>42948</v>
      </c>
      <c r="B24" s="2">
        <v>42948</v>
      </c>
      <c r="C24" t="str">
        <f>"00223837"</f>
        <v>00223837</v>
      </c>
      <c r="D24" t="s">
        <v>19</v>
      </c>
      <c r="E24">
        <v>14.42</v>
      </c>
      <c r="G24" s="1">
        <v>791480.14</v>
      </c>
    </row>
    <row r="25" spans="1:7" x14ac:dyDescent="0.25">
      <c r="A25" s="2">
        <v>42948</v>
      </c>
      <c r="B25" s="2">
        <v>42948</v>
      </c>
      <c r="C25" t="str">
        <f>"00565749"</f>
        <v>00565749</v>
      </c>
      <c r="D25" t="s">
        <v>20</v>
      </c>
      <c r="E25">
        <v>1.44</v>
      </c>
      <c r="G25" s="1">
        <v>791478.7</v>
      </c>
    </row>
    <row r="26" spans="1:7" x14ac:dyDescent="0.25">
      <c r="A26" s="2">
        <v>42948</v>
      </c>
      <c r="B26" s="2">
        <v>42948</v>
      </c>
      <c r="C26" t="str">
        <f>"9908012017FNOB011"</f>
        <v>9908012017FNOB011</v>
      </c>
      <c r="D26" t="s">
        <v>332</v>
      </c>
      <c r="F26" s="1">
        <v>7100.06</v>
      </c>
      <c r="G26" s="1">
        <v>798578.76</v>
      </c>
    </row>
    <row r="27" spans="1:7" x14ac:dyDescent="0.25">
      <c r="A27" s="2">
        <v>42948</v>
      </c>
      <c r="B27" s="2">
        <v>42948</v>
      </c>
      <c r="C27" t="str">
        <f>"9908012017FNOB011"</f>
        <v>9908012017FNOB011</v>
      </c>
      <c r="D27" t="s">
        <v>333</v>
      </c>
      <c r="E27">
        <v>10</v>
      </c>
      <c r="G27" s="1">
        <v>798568.76</v>
      </c>
    </row>
    <row r="28" spans="1:7" x14ac:dyDescent="0.25">
      <c r="A28" s="2">
        <v>42948</v>
      </c>
      <c r="B28" s="2">
        <v>42948</v>
      </c>
      <c r="C28" t="str">
        <f>"9908012017FNOB011"</f>
        <v>9908012017FNOB011</v>
      </c>
      <c r="D28" t="s">
        <v>334</v>
      </c>
      <c r="E28">
        <v>1</v>
      </c>
      <c r="G28" s="1">
        <v>798567.76</v>
      </c>
    </row>
    <row r="29" spans="1:7" x14ac:dyDescent="0.25">
      <c r="A29" s="2">
        <v>42948</v>
      </c>
      <c r="B29" s="2">
        <v>42948</v>
      </c>
      <c r="C29" t="str">
        <f>"BMLM5597201"</f>
        <v>BMLM5597201</v>
      </c>
      <c r="D29" t="s">
        <v>36</v>
      </c>
      <c r="F29">
        <v>541</v>
      </c>
      <c r="G29" s="1">
        <v>799108.76</v>
      </c>
    </row>
    <row r="30" spans="1:7" x14ac:dyDescent="0.25">
      <c r="A30" s="2">
        <v>42948</v>
      </c>
      <c r="B30" s="2">
        <v>42948</v>
      </c>
      <c r="C30" t="str">
        <f>"BMLM5597301"</f>
        <v>BMLM5597301</v>
      </c>
      <c r="D30" t="s">
        <v>36</v>
      </c>
      <c r="F30">
        <v>600</v>
      </c>
      <c r="G30" s="1">
        <v>799708.76</v>
      </c>
    </row>
    <row r="31" spans="1:7" x14ac:dyDescent="0.25">
      <c r="A31" s="2">
        <v>42948</v>
      </c>
      <c r="B31" s="2">
        <v>42948</v>
      </c>
      <c r="C31" t="str">
        <f>"BMLM5597401"</f>
        <v>BMLM5597401</v>
      </c>
      <c r="D31" t="s">
        <v>36</v>
      </c>
      <c r="F31">
        <v>276</v>
      </c>
      <c r="G31" s="1">
        <v>799984.76</v>
      </c>
    </row>
    <row r="32" spans="1:7" x14ac:dyDescent="0.25">
      <c r="A32" s="2">
        <v>42948</v>
      </c>
      <c r="B32" s="2">
        <v>42948</v>
      </c>
      <c r="C32" t="str">
        <f>"BMLM5597501"</f>
        <v>BMLM5597501</v>
      </c>
      <c r="D32" t="s">
        <v>36</v>
      </c>
      <c r="F32">
        <v>110</v>
      </c>
      <c r="G32" s="1">
        <v>800094.76</v>
      </c>
    </row>
    <row r="33" spans="1:7" x14ac:dyDescent="0.25">
      <c r="A33" s="2">
        <v>42948</v>
      </c>
      <c r="B33" s="2">
        <v>42948</v>
      </c>
      <c r="C33" t="str">
        <f>"BMLM5597601"</f>
        <v>BMLM5597601</v>
      </c>
      <c r="D33" t="s">
        <v>36</v>
      </c>
      <c r="F33">
        <v>110</v>
      </c>
      <c r="G33" s="1">
        <v>800204.76</v>
      </c>
    </row>
    <row r="34" spans="1:7" x14ac:dyDescent="0.25">
      <c r="A34" s="2">
        <v>42948</v>
      </c>
      <c r="B34" s="2">
        <v>42948</v>
      </c>
      <c r="C34" t="str">
        <f>"OUTGOING SWIFT SW09901081740505SN147544/"</f>
        <v>OUTGOING SWIFT SW09901081740505SN147544/</v>
      </c>
      <c r="D34" t="s">
        <v>335</v>
      </c>
      <c r="E34">
        <v>621</v>
      </c>
      <c r="G34" s="1">
        <v>799583.76</v>
      </c>
    </row>
    <row r="35" spans="1:7" x14ac:dyDescent="0.25">
      <c r="A35" s="2">
        <v>42948</v>
      </c>
      <c r="B35" s="2">
        <v>42948</v>
      </c>
      <c r="C35" t="str">
        <f>"00223882"</f>
        <v>00223882</v>
      </c>
      <c r="D35" t="s">
        <v>19</v>
      </c>
      <c r="E35">
        <v>14.44</v>
      </c>
      <c r="G35" s="1">
        <v>799569.32</v>
      </c>
    </row>
    <row r="36" spans="1:7" x14ac:dyDescent="0.25">
      <c r="A36" s="2">
        <v>42948</v>
      </c>
      <c r="B36" s="2">
        <v>42948</v>
      </c>
      <c r="C36" t="str">
        <f>"00565921"</f>
        <v>00565921</v>
      </c>
      <c r="D36" t="s">
        <v>20</v>
      </c>
      <c r="E36">
        <v>1.44</v>
      </c>
      <c r="G36" s="1">
        <v>799567.88</v>
      </c>
    </row>
    <row r="37" spans="1:7" x14ac:dyDescent="0.25">
      <c r="A37" s="2">
        <v>42948</v>
      </c>
      <c r="B37" s="2">
        <v>42948</v>
      </c>
      <c r="C37" t="str">
        <f>"74HBISJXKNAQFWMZ"</f>
        <v>74HBISJXKNAQFWMZ</v>
      </c>
      <c r="D37" t="s">
        <v>336</v>
      </c>
      <c r="F37" s="1">
        <v>2246</v>
      </c>
      <c r="G37" s="1">
        <v>801813.88</v>
      </c>
    </row>
    <row r="38" spans="1:7" x14ac:dyDescent="0.25">
      <c r="A38" s="2">
        <v>42948</v>
      </c>
      <c r="B38" s="2">
        <v>42948</v>
      </c>
      <c r="C38" t="str">
        <f>"74HBISJXKNAQFWMZ"</f>
        <v>74HBISJXKNAQFWMZ</v>
      </c>
      <c r="D38" t="s">
        <v>337</v>
      </c>
      <c r="F38" s="1">
        <v>46000</v>
      </c>
      <c r="G38" s="1">
        <v>847813.88</v>
      </c>
    </row>
    <row r="39" spans="1:7" x14ac:dyDescent="0.25">
      <c r="A39" s="2">
        <v>42948</v>
      </c>
      <c r="B39" s="2">
        <v>42948</v>
      </c>
      <c r="C39" t="str">
        <f>"Q9LYQPHEI1RB4BDZ"</f>
        <v>Q9LYQPHEI1RB4BDZ</v>
      </c>
      <c r="D39" t="s">
        <v>338</v>
      </c>
      <c r="F39" s="1">
        <v>26925</v>
      </c>
      <c r="G39" s="1">
        <v>874738.88</v>
      </c>
    </row>
    <row r="40" spans="1:7" x14ac:dyDescent="0.25">
      <c r="A40" s="2">
        <v>42948</v>
      </c>
      <c r="B40" s="2">
        <v>42948</v>
      </c>
      <c r="C40" t="str">
        <f>"Q9LYQPHEI1RB4BDZ"</f>
        <v>Q9LYQPHEI1RB4BDZ</v>
      </c>
      <c r="D40" t="s">
        <v>339</v>
      </c>
      <c r="F40" s="1">
        <v>56050</v>
      </c>
      <c r="G40" s="1">
        <v>930788.88</v>
      </c>
    </row>
    <row r="41" spans="1:7" x14ac:dyDescent="0.25">
      <c r="A41" s="2">
        <v>42948</v>
      </c>
      <c r="B41" s="2">
        <v>42948</v>
      </c>
      <c r="C41" t="str">
        <f>"Q9LYQPHEI1RB4BDZ"</f>
        <v>Q9LYQPHEI1RB4BDZ</v>
      </c>
      <c r="D41" t="s">
        <v>340</v>
      </c>
      <c r="F41" s="1">
        <v>76371</v>
      </c>
      <c r="G41" s="1">
        <v>1007159.88</v>
      </c>
    </row>
    <row r="42" spans="1:7" x14ac:dyDescent="0.25">
      <c r="A42" s="2">
        <v>42948</v>
      </c>
      <c r="B42" s="2">
        <v>42948</v>
      </c>
      <c r="C42" t="str">
        <f>"V6HNSXXZTALD8LTZ"</f>
        <v>V6HNSXXZTALD8LTZ</v>
      </c>
      <c r="D42" t="s">
        <v>341</v>
      </c>
      <c r="F42" s="1">
        <v>56000</v>
      </c>
      <c r="G42" s="1">
        <v>1063159.8799999999</v>
      </c>
    </row>
    <row r="43" spans="1:7" x14ac:dyDescent="0.25">
      <c r="A43" s="2">
        <v>42949</v>
      </c>
      <c r="B43" s="2">
        <v>42949</v>
      </c>
      <c r="C43" t="str">
        <f>"9908022017FNOB000"</f>
        <v>9908022017FNOB000</v>
      </c>
      <c r="D43" t="s">
        <v>342</v>
      </c>
      <c r="E43">
        <v>1</v>
      </c>
      <c r="G43" s="1">
        <v>1063158.8799999999</v>
      </c>
    </row>
    <row r="44" spans="1:7" x14ac:dyDescent="0.25">
      <c r="A44" s="2">
        <v>42949</v>
      </c>
      <c r="B44" s="2">
        <v>42949</v>
      </c>
      <c r="C44" t="str">
        <f>"DR4CPNLCVGU6AHP"</f>
        <v>DR4CPNLCVGU6AHP</v>
      </c>
      <c r="D44" t="s">
        <v>343</v>
      </c>
      <c r="F44" s="1">
        <v>2559</v>
      </c>
      <c r="G44" s="1">
        <v>1065717.8799999999</v>
      </c>
    </row>
    <row r="45" spans="1:7" x14ac:dyDescent="0.25">
      <c r="A45" s="2">
        <v>42949</v>
      </c>
      <c r="B45" s="2">
        <v>42949</v>
      </c>
      <c r="C45" t="str">
        <f>"DR4CPNLCVGU6AHP"</f>
        <v>DR4CPNLCVGU6AHP</v>
      </c>
      <c r="D45" t="s">
        <v>344</v>
      </c>
      <c r="F45" s="1">
        <v>28378</v>
      </c>
      <c r="G45" s="1">
        <v>1094095.8799999999</v>
      </c>
    </row>
    <row r="46" spans="1:7" x14ac:dyDescent="0.25">
      <c r="A46" s="2">
        <v>42949</v>
      </c>
      <c r="B46" s="2">
        <v>42949</v>
      </c>
      <c r="C46" t="str">
        <f>"9908022017FNOB007"</f>
        <v>9908022017FNOB007</v>
      </c>
      <c r="D46" t="s">
        <v>345</v>
      </c>
      <c r="F46" s="1">
        <v>35328</v>
      </c>
      <c r="G46" s="1">
        <v>1129423.8799999999</v>
      </c>
    </row>
    <row r="47" spans="1:7" x14ac:dyDescent="0.25">
      <c r="A47" s="2">
        <v>42949</v>
      </c>
      <c r="B47" s="2">
        <v>42949</v>
      </c>
      <c r="C47" t="str">
        <f>"9908022017FNOB007"</f>
        <v>9908022017FNOB007</v>
      </c>
      <c r="D47" t="s">
        <v>346</v>
      </c>
      <c r="E47">
        <v>1</v>
      </c>
      <c r="G47" s="1">
        <v>1129422.8799999999</v>
      </c>
    </row>
    <row r="48" spans="1:7" x14ac:dyDescent="0.25">
      <c r="A48" s="2">
        <v>42949</v>
      </c>
      <c r="B48" s="2">
        <v>42949</v>
      </c>
      <c r="C48" t="str">
        <f>"9908022017FNOB007"</f>
        <v>9908022017FNOB007</v>
      </c>
      <c r="D48" t="s">
        <v>347</v>
      </c>
      <c r="E48">
        <v>10</v>
      </c>
      <c r="G48" s="1">
        <v>1129412.8799999999</v>
      </c>
    </row>
    <row r="49" spans="1:7" x14ac:dyDescent="0.25">
      <c r="A49" s="2">
        <v>42949</v>
      </c>
      <c r="B49" s="2">
        <v>42949</v>
      </c>
      <c r="C49" t="str">
        <f>"M9CIH8ZMJNVUHPF"</f>
        <v>M9CIH8ZMJNVUHPF</v>
      </c>
      <c r="D49" t="s">
        <v>348</v>
      </c>
      <c r="F49" s="1">
        <v>3555</v>
      </c>
      <c r="G49" s="1">
        <v>1132967.8799999999</v>
      </c>
    </row>
    <row r="50" spans="1:7" x14ac:dyDescent="0.25">
      <c r="A50" s="2">
        <v>42949</v>
      </c>
      <c r="B50" s="2">
        <v>42949</v>
      </c>
      <c r="C50" t="str">
        <f>"M9CIH8ZMJNVUHPF"</f>
        <v>M9CIH8ZMJNVUHPF</v>
      </c>
      <c r="D50" t="s">
        <v>349</v>
      </c>
      <c r="F50" s="1">
        <v>3591</v>
      </c>
      <c r="G50" s="1">
        <v>1136558.8799999999</v>
      </c>
    </row>
    <row r="51" spans="1:7" x14ac:dyDescent="0.25">
      <c r="A51" s="2">
        <v>42949</v>
      </c>
      <c r="B51" s="2">
        <v>42949</v>
      </c>
      <c r="C51" t="str">
        <f>"M9CIH8ZMJNVUHPF"</f>
        <v>M9CIH8ZMJNVUHPF</v>
      </c>
      <c r="D51" t="s">
        <v>350</v>
      </c>
      <c r="F51" s="1">
        <v>7831</v>
      </c>
      <c r="G51" s="1">
        <v>1144389.8799999999</v>
      </c>
    </row>
    <row r="52" spans="1:7" x14ac:dyDescent="0.25">
      <c r="A52" s="2">
        <v>42949</v>
      </c>
      <c r="B52" s="2">
        <v>42949</v>
      </c>
      <c r="C52" t="str">
        <f>"M9CIH8ZMJNVUHPF"</f>
        <v>M9CIH8ZMJNVUHPF</v>
      </c>
      <c r="D52" t="s">
        <v>351</v>
      </c>
      <c r="F52" s="1">
        <v>82000</v>
      </c>
      <c r="G52" s="1">
        <v>1226389.8799999999</v>
      </c>
    </row>
    <row r="53" spans="1:7" x14ac:dyDescent="0.25">
      <c r="A53" s="2">
        <v>42949</v>
      </c>
      <c r="B53" s="2">
        <v>42949</v>
      </c>
      <c r="C53" t="str">
        <f>"M9CIH8ZMJNVUHPF"</f>
        <v>M9CIH8ZMJNVUHPF</v>
      </c>
      <c r="D53" t="s">
        <v>352</v>
      </c>
      <c r="F53" s="1">
        <v>145877</v>
      </c>
      <c r="G53" s="1">
        <v>1372266.88</v>
      </c>
    </row>
    <row r="54" spans="1:7" x14ac:dyDescent="0.25">
      <c r="A54" s="2">
        <v>42949</v>
      </c>
      <c r="B54" s="2">
        <v>42949</v>
      </c>
      <c r="C54" t="str">
        <f>"ACKJZQ0YMC0WGW9"</f>
        <v>ACKJZQ0YMC0WGW9</v>
      </c>
      <c r="D54" t="s">
        <v>353</v>
      </c>
      <c r="F54" s="1">
        <v>13364</v>
      </c>
      <c r="G54" s="1">
        <v>1389925.88</v>
      </c>
    </row>
    <row r="55" spans="1:7" x14ac:dyDescent="0.25">
      <c r="A55" s="2">
        <v>42949</v>
      </c>
      <c r="B55" s="2">
        <v>42958</v>
      </c>
      <c r="C55" t="str">
        <f>"BMLM5605101"</f>
        <v>BMLM5605101</v>
      </c>
      <c r="D55" t="s">
        <v>354</v>
      </c>
      <c r="F55" s="1">
        <v>4295</v>
      </c>
      <c r="G55" s="1">
        <v>2208381.5099999998</v>
      </c>
    </row>
    <row r="56" spans="1:7" x14ac:dyDescent="0.25">
      <c r="A56" s="2">
        <v>42950</v>
      </c>
      <c r="B56" s="2">
        <v>42950</v>
      </c>
      <c r="C56" t="str">
        <f>"20170803102627432"</f>
        <v>20170803102627432</v>
      </c>
      <c r="D56" t="s">
        <v>355</v>
      </c>
      <c r="E56">
        <v>390.94</v>
      </c>
      <c r="G56" s="1">
        <v>1389534.94</v>
      </c>
    </row>
    <row r="57" spans="1:7" x14ac:dyDescent="0.25">
      <c r="A57" s="2">
        <v>42950</v>
      </c>
      <c r="B57" s="2">
        <v>42950</v>
      </c>
      <c r="C57" t="str">
        <f>"X25GATRL7CG9SHD"</f>
        <v>X25GATRL7CG9SHD</v>
      </c>
      <c r="D57" t="s">
        <v>356</v>
      </c>
      <c r="F57" s="1">
        <v>1595</v>
      </c>
      <c r="G57" s="1">
        <v>1391129.94</v>
      </c>
    </row>
    <row r="58" spans="1:7" x14ac:dyDescent="0.25">
      <c r="A58" s="2">
        <v>42950</v>
      </c>
      <c r="B58" s="2">
        <v>42950</v>
      </c>
      <c r="C58" t="str">
        <f>"X25GATRL7CG9SHD"</f>
        <v>X25GATRL7CG9SHD</v>
      </c>
      <c r="D58" t="s">
        <v>357</v>
      </c>
      <c r="F58" s="1">
        <v>26668</v>
      </c>
      <c r="G58" s="1">
        <v>1417797.94</v>
      </c>
    </row>
    <row r="59" spans="1:7" x14ac:dyDescent="0.25">
      <c r="A59" s="2">
        <v>42950</v>
      </c>
      <c r="B59" s="2">
        <v>42950</v>
      </c>
      <c r="C59" t="str">
        <f>"J5207NMX83D1T3Q"</f>
        <v>J5207NMX83D1T3Q</v>
      </c>
      <c r="D59" t="s">
        <v>358</v>
      </c>
      <c r="E59">
        <v>9.85</v>
      </c>
      <c r="G59" s="1">
        <v>1417788.09</v>
      </c>
    </row>
    <row r="60" spans="1:7" x14ac:dyDescent="0.25">
      <c r="A60" s="2">
        <v>42950</v>
      </c>
      <c r="B60" s="2">
        <v>42950</v>
      </c>
      <c r="C60" t="str">
        <f t="shared" ref="C60:C65" si="0">"OYNVFM0RHMFXW99"</f>
        <v>OYNVFM0RHMFXW99</v>
      </c>
      <c r="D60" t="s">
        <v>359</v>
      </c>
      <c r="F60">
        <v>110</v>
      </c>
      <c r="G60" s="1">
        <v>1417898.09</v>
      </c>
    </row>
    <row r="61" spans="1:7" x14ac:dyDescent="0.25">
      <c r="A61" s="2">
        <v>42950</v>
      </c>
      <c r="B61" s="2">
        <v>42950</v>
      </c>
      <c r="C61" t="str">
        <f t="shared" si="0"/>
        <v>OYNVFM0RHMFXW99</v>
      </c>
      <c r="D61" t="s">
        <v>360</v>
      </c>
      <c r="F61">
        <v>643</v>
      </c>
      <c r="G61" s="1">
        <v>1418541.09</v>
      </c>
    </row>
    <row r="62" spans="1:7" x14ac:dyDescent="0.25">
      <c r="A62" s="2">
        <v>42950</v>
      </c>
      <c r="B62" s="2">
        <v>42950</v>
      </c>
      <c r="C62" t="str">
        <f t="shared" si="0"/>
        <v>OYNVFM0RHMFXW99</v>
      </c>
      <c r="D62" t="s">
        <v>361</v>
      </c>
      <c r="F62" s="1">
        <v>3856</v>
      </c>
      <c r="G62" s="1">
        <v>1422397.09</v>
      </c>
    </row>
    <row r="63" spans="1:7" x14ac:dyDescent="0.25">
      <c r="A63" s="2">
        <v>42950</v>
      </c>
      <c r="B63" s="2">
        <v>42950</v>
      </c>
      <c r="C63" t="str">
        <f t="shared" si="0"/>
        <v>OYNVFM0RHMFXW99</v>
      </c>
      <c r="D63" t="s">
        <v>362</v>
      </c>
      <c r="F63" s="1">
        <v>4755</v>
      </c>
      <c r="G63" s="1">
        <v>1427152.09</v>
      </c>
    </row>
    <row r="64" spans="1:7" x14ac:dyDescent="0.25">
      <c r="A64" s="2">
        <v>42950</v>
      </c>
      <c r="B64" s="2">
        <v>42950</v>
      </c>
      <c r="C64" t="str">
        <f t="shared" si="0"/>
        <v>OYNVFM0RHMFXW99</v>
      </c>
      <c r="D64" t="s">
        <v>363</v>
      </c>
      <c r="F64" s="1">
        <v>15434.68</v>
      </c>
      <c r="G64" s="1">
        <v>1442586.77</v>
      </c>
    </row>
    <row r="65" spans="1:7" x14ac:dyDescent="0.25">
      <c r="A65" s="2">
        <v>42950</v>
      </c>
      <c r="B65" s="2">
        <v>42950</v>
      </c>
      <c r="C65" t="str">
        <f t="shared" si="0"/>
        <v>OYNVFM0RHMFXW99</v>
      </c>
      <c r="D65" t="s">
        <v>364</v>
      </c>
      <c r="F65" s="1">
        <v>20943</v>
      </c>
      <c r="G65" s="1">
        <v>1463529.77</v>
      </c>
    </row>
    <row r="66" spans="1:7" x14ac:dyDescent="0.25">
      <c r="A66" s="2">
        <v>42950</v>
      </c>
      <c r="B66" s="2">
        <v>42950</v>
      </c>
      <c r="C66" t="str">
        <f>"894YAB8P246QMN7Z"</f>
        <v>894YAB8P246QMN7Z</v>
      </c>
      <c r="D66" t="s">
        <v>365</v>
      </c>
      <c r="F66">
        <v>985</v>
      </c>
      <c r="G66" s="1">
        <v>1464514.77</v>
      </c>
    </row>
    <row r="67" spans="1:7" x14ac:dyDescent="0.25">
      <c r="A67" s="2">
        <v>42950</v>
      </c>
      <c r="B67" s="2">
        <v>42950</v>
      </c>
      <c r="C67" t="str">
        <f>"894YAB8P246QMN7Z"</f>
        <v>894YAB8P246QMN7Z</v>
      </c>
      <c r="D67" t="s">
        <v>366</v>
      </c>
      <c r="F67" s="1">
        <v>7707</v>
      </c>
      <c r="G67" s="1">
        <v>1472221.77</v>
      </c>
    </row>
    <row r="68" spans="1:7" x14ac:dyDescent="0.25">
      <c r="A68" s="2">
        <v>42950</v>
      </c>
      <c r="B68" s="2">
        <v>42950</v>
      </c>
      <c r="C68" t="str">
        <f>"PVIA9BFW1VRYSYE"</f>
        <v>PVIA9BFW1VRYSYE</v>
      </c>
      <c r="D68" t="s">
        <v>367</v>
      </c>
      <c r="F68">
        <v>275</v>
      </c>
      <c r="G68" s="1">
        <v>1486606.77</v>
      </c>
    </row>
    <row r="69" spans="1:7" x14ac:dyDescent="0.25">
      <c r="A69" s="2">
        <v>42950</v>
      </c>
      <c r="B69" s="2">
        <v>42950</v>
      </c>
      <c r="C69" t="str">
        <f>"PVIA9BFW1VRYSYE"</f>
        <v>PVIA9BFW1VRYSYE</v>
      </c>
      <c r="D69" t="s">
        <v>368</v>
      </c>
      <c r="F69" s="1">
        <v>2198</v>
      </c>
      <c r="G69" s="1">
        <v>1488804.77</v>
      </c>
    </row>
    <row r="70" spans="1:7" x14ac:dyDescent="0.25">
      <c r="A70" s="2">
        <v>42950</v>
      </c>
      <c r="B70" s="2">
        <v>42950</v>
      </c>
      <c r="C70" t="str">
        <f>"PVIA9BFW1VRYSYE"</f>
        <v>PVIA9BFW1VRYSYE</v>
      </c>
      <c r="D70" t="s">
        <v>369</v>
      </c>
      <c r="F70" s="1">
        <v>5740</v>
      </c>
      <c r="G70" s="1">
        <v>1494544.77</v>
      </c>
    </row>
    <row r="71" spans="1:7" x14ac:dyDescent="0.25">
      <c r="A71" s="2">
        <v>42950</v>
      </c>
      <c r="B71" s="2">
        <v>42950</v>
      </c>
      <c r="C71" t="str">
        <f>"PVIA9BFW1VRYSYE"</f>
        <v>PVIA9BFW1VRYSYE</v>
      </c>
      <c r="D71" t="s">
        <v>370</v>
      </c>
      <c r="F71" s="1">
        <v>11451</v>
      </c>
      <c r="G71" s="1">
        <v>1505995.77</v>
      </c>
    </row>
    <row r="72" spans="1:7" x14ac:dyDescent="0.25">
      <c r="A72" s="2">
        <v>42950</v>
      </c>
      <c r="B72" s="2">
        <v>42950</v>
      </c>
      <c r="C72" t="str">
        <f>"BMLM5619401"</f>
        <v>BMLM5619401</v>
      </c>
      <c r="D72" t="s">
        <v>371</v>
      </c>
      <c r="E72" s="1">
        <v>11062</v>
      </c>
      <c r="G72" s="1">
        <v>1494933.77</v>
      </c>
    </row>
    <row r="73" spans="1:7" x14ac:dyDescent="0.25">
      <c r="A73" s="2">
        <v>42950</v>
      </c>
      <c r="B73" s="2">
        <v>42961</v>
      </c>
      <c r="C73" t="str">
        <f>"BMLM5617601"</f>
        <v>BMLM5617601</v>
      </c>
      <c r="D73" t="s">
        <v>372</v>
      </c>
      <c r="F73" s="1">
        <v>5307</v>
      </c>
      <c r="G73" s="1">
        <v>2212516.08</v>
      </c>
    </row>
    <row r="74" spans="1:7" x14ac:dyDescent="0.25">
      <c r="A74" s="2">
        <v>42950</v>
      </c>
      <c r="B74" s="2">
        <v>42961</v>
      </c>
      <c r="C74" t="str">
        <f>"BMLM5617701"</f>
        <v>BMLM5617701</v>
      </c>
      <c r="D74" t="s">
        <v>373</v>
      </c>
      <c r="F74" s="1">
        <v>5308</v>
      </c>
      <c r="G74" s="1">
        <v>2212516.08</v>
      </c>
    </row>
    <row r="75" spans="1:7" x14ac:dyDescent="0.25">
      <c r="A75" s="2">
        <v>42950</v>
      </c>
      <c r="B75" s="2">
        <v>42961</v>
      </c>
      <c r="C75" t="str">
        <f>"BMLM5617801"</f>
        <v>BMLM5617801</v>
      </c>
      <c r="D75" t="s">
        <v>374</v>
      </c>
      <c r="F75" s="1">
        <v>3495</v>
      </c>
      <c r="G75" s="1">
        <v>2212516.08</v>
      </c>
    </row>
    <row r="76" spans="1:7" x14ac:dyDescent="0.25">
      <c r="A76" s="2">
        <v>42951</v>
      </c>
      <c r="B76" s="2">
        <v>42951</v>
      </c>
      <c r="C76" t="str">
        <f>"X644RDBN99LR9PW"</f>
        <v>X644RDBN99LR9PW</v>
      </c>
      <c r="D76" t="s">
        <v>375</v>
      </c>
      <c r="E76">
        <v>10</v>
      </c>
      <c r="G76" s="1">
        <v>1494923.77</v>
      </c>
    </row>
    <row r="77" spans="1:7" x14ac:dyDescent="0.25">
      <c r="A77" s="2">
        <v>42951</v>
      </c>
      <c r="B77" s="2">
        <v>42951</v>
      </c>
      <c r="C77" t="str">
        <f>"TMFC501ZRBYZH2R"</f>
        <v>TMFC501ZRBYZH2R</v>
      </c>
      <c r="D77" t="s">
        <v>376</v>
      </c>
      <c r="F77">
        <v>445</v>
      </c>
      <c r="G77" s="1">
        <v>1495368.77</v>
      </c>
    </row>
    <row r="78" spans="1:7" x14ac:dyDescent="0.25">
      <c r="A78" s="2">
        <v>42951</v>
      </c>
      <c r="B78" s="2">
        <v>42951</v>
      </c>
      <c r="C78" t="str">
        <f>"TMFC501ZRBYZH2R"</f>
        <v>TMFC501ZRBYZH2R</v>
      </c>
      <c r="D78" t="s">
        <v>377</v>
      </c>
      <c r="F78" s="1">
        <v>1753</v>
      </c>
      <c r="G78" s="1">
        <v>1497121.77</v>
      </c>
    </row>
    <row r="79" spans="1:7" x14ac:dyDescent="0.25">
      <c r="A79" s="2">
        <v>42951</v>
      </c>
      <c r="B79" s="2">
        <v>42951</v>
      </c>
      <c r="C79" t="str">
        <f>"MHB4F2YCUMH2YJ6Z"</f>
        <v>MHB4F2YCUMH2YJ6Z</v>
      </c>
      <c r="D79" t="s">
        <v>378</v>
      </c>
      <c r="F79" s="1">
        <v>18099</v>
      </c>
      <c r="G79" s="1">
        <v>1515220.77</v>
      </c>
    </row>
    <row r="80" spans="1:7" x14ac:dyDescent="0.25">
      <c r="A80" s="2">
        <v>42951</v>
      </c>
      <c r="B80" s="2">
        <v>42951</v>
      </c>
      <c r="C80" t="str">
        <f>"FDX0GK6C0550CF4"</f>
        <v>FDX0GK6C0550CF4</v>
      </c>
      <c r="D80" t="s">
        <v>379</v>
      </c>
      <c r="F80" s="1">
        <v>6951</v>
      </c>
      <c r="G80" s="1">
        <v>1522171.77</v>
      </c>
    </row>
    <row r="81" spans="1:7" x14ac:dyDescent="0.25">
      <c r="A81" s="2">
        <v>42951</v>
      </c>
      <c r="B81" s="2">
        <v>42951</v>
      </c>
      <c r="C81" t="str">
        <f>"FDX0GK6C0550CF4"</f>
        <v>FDX0GK6C0550CF4</v>
      </c>
      <c r="D81" t="s">
        <v>380</v>
      </c>
      <c r="F81" s="1">
        <v>47855.55</v>
      </c>
      <c r="G81" s="1">
        <v>1570027.32</v>
      </c>
    </row>
    <row r="82" spans="1:7" x14ac:dyDescent="0.25">
      <c r="A82" s="2">
        <v>42951</v>
      </c>
      <c r="B82" s="2">
        <v>42951</v>
      </c>
      <c r="C82" t="str">
        <f>"B-GO1268501"</f>
        <v>B-GO1268501</v>
      </c>
      <c r="D82" t="s">
        <v>381</v>
      </c>
      <c r="E82" s="1">
        <v>3280</v>
      </c>
      <c r="G82" s="1">
        <v>1566747.32</v>
      </c>
    </row>
    <row r="83" spans="1:7" x14ac:dyDescent="0.25">
      <c r="A83" s="2">
        <v>42951</v>
      </c>
      <c r="B83" s="2">
        <v>42951</v>
      </c>
      <c r="C83" t="str">
        <f>"HQYJ93RLO209XVV"</f>
        <v>HQYJ93RLO209XVV</v>
      </c>
      <c r="D83" t="s">
        <v>382</v>
      </c>
      <c r="F83" s="1">
        <v>2012</v>
      </c>
      <c r="G83" s="1">
        <v>1568759.32</v>
      </c>
    </row>
    <row r="84" spans="1:7" x14ac:dyDescent="0.25">
      <c r="A84" s="2">
        <v>42951</v>
      </c>
      <c r="B84" s="2">
        <v>42951</v>
      </c>
      <c r="C84" t="str">
        <f>"9908042017FNOB014"</f>
        <v>9908042017FNOB014</v>
      </c>
      <c r="D84" t="s">
        <v>383</v>
      </c>
      <c r="E84">
        <v>10</v>
      </c>
      <c r="G84" s="1">
        <v>1568749.32</v>
      </c>
    </row>
    <row r="85" spans="1:7" x14ac:dyDescent="0.25">
      <c r="A85" s="2">
        <v>42951</v>
      </c>
      <c r="B85" s="2">
        <v>42951</v>
      </c>
      <c r="C85" t="str">
        <f>"9908042017FNOB014"</f>
        <v>9908042017FNOB014</v>
      </c>
      <c r="D85" t="s">
        <v>384</v>
      </c>
      <c r="F85" s="1">
        <v>32511.39</v>
      </c>
      <c r="G85" s="1">
        <v>1601260.71</v>
      </c>
    </row>
    <row r="86" spans="1:7" x14ac:dyDescent="0.25">
      <c r="A86" s="2">
        <v>42951</v>
      </c>
      <c r="B86" s="2">
        <v>42951</v>
      </c>
      <c r="C86" t="str">
        <f>"9908042017FNOB014"</f>
        <v>9908042017FNOB014</v>
      </c>
      <c r="D86" t="s">
        <v>385</v>
      </c>
      <c r="E86">
        <v>1</v>
      </c>
      <c r="G86" s="1">
        <v>1601259.71</v>
      </c>
    </row>
    <row r="87" spans="1:7" x14ac:dyDescent="0.25">
      <c r="A87" s="2">
        <v>42951</v>
      </c>
      <c r="B87" s="2">
        <v>42951</v>
      </c>
      <c r="C87" t="str">
        <f>"9908042017FNOB001"</f>
        <v>9908042017FNOB001</v>
      </c>
      <c r="D87" t="s">
        <v>386</v>
      </c>
      <c r="E87">
        <v>0.99</v>
      </c>
      <c r="G87" s="1">
        <v>1601258.72</v>
      </c>
    </row>
    <row r="88" spans="1:7" x14ac:dyDescent="0.25">
      <c r="A88" s="2">
        <v>42951</v>
      </c>
      <c r="B88" s="2">
        <v>42951</v>
      </c>
      <c r="C88" t="str">
        <f>"33IT0719601"</f>
        <v>33IT0719601</v>
      </c>
      <c r="D88" t="s">
        <v>387</v>
      </c>
      <c r="F88" s="1">
        <v>2410</v>
      </c>
      <c r="G88" s="1">
        <v>1603668.72</v>
      </c>
    </row>
    <row r="89" spans="1:7" x14ac:dyDescent="0.25">
      <c r="A89" s="2">
        <v>42952</v>
      </c>
      <c r="B89" s="2">
        <v>42952</v>
      </c>
      <c r="C89" t="str">
        <f>"BMLM5630701"</f>
        <v>BMLM5630701</v>
      </c>
      <c r="D89" t="s">
        <v>388</v>
      </c>
      <c r="E89" s="1">
        <v>1700</v>
      </c>
      <c r="G89" s="1">
        <v>1601968.72</v>
      </c>
    </row>
    <row r="90" spans="1:7" x14ac:dyDescent="0.25">
      <c r="A90" s="2">
        <v>42952</v>
      </c>
      <c r="B90" s="2">
        <v>42952</v>
      </c>
      <c r="C90" t="str">
        <f>"BMLM5632101"</f>
        <v>BMLM5632101</v>
      </c>
      <c r="D90" t="s">
        <v>389</v>
      </c>
      <c r="E90" s="1">
        <v>1413</v>
      </c>
      <c r="G90" s="1">
        <v>1600555.72</v>
      </c>
    </row>
    <row r="91" spans="1:7" x14ac:dyDescent="0.25">
      <c r="A91" s="2">
        <v>42952</v>
      </c>
      <c r="B91" s="2">
        <v>42952</v>
      </c>
      <c r="C91" t="str">
        <f>"BMLM5632301"</f>
        <v>BMLM5632301</v>
      </c>
      <c r="D91" t="s">
        <v>36</v>
      </c>
      <c r="F91">
        <v>330</v>
      </c>
      <c r="G91" s="1">
        <v>1600885.72</v>
      </c>
    </row>
    <row r="92" spans="1:7" x14ac:dyDescent="0.25">
      <c r="A92" s="2">
        <v>42952</v>
      </c>
      <c r="B92" s="2">
        <v>42952</v>
      </c>
      <c r="C92" t="str">
        <f>"BMLM5632401"</f>
        <v>BMLM5632401</v>
      </c>
      <c r="D92" t="s">
        <v>36</v>
      </c>
      <c r="F92">
        <v>345</v>
      </c>
      <c r="G92" s="1">
        <v>1601230.72</v>
      </c>
    </row>
    <row r="93" spans="1:7" x14ac:dyDescent="0.25">
      <c r="A93" s="2">
        <v>42952</v>
      </c>
      <c r="B93" s="2">
        <v>42952</v>
      </c>
      <c r="C93" t="str">
        <f>"BMLM5632501"</f>
        <v>BMLM5632501</v>
      </c>
      <c r="D93" t="s">
        <v>36</v>
      </c>
      <c r="F93">
        <v>875</v>
      </c>
      <c r="G93" s="1">
        <v>1602105.72</v>
      </c>
    </row>
    <row r="94" spans="1:7" x14ac:dyDescent="0.25">
      <c r="A94" s="2">
        <v>42952</v>
      </c>
      <c r="B94" s="2">
        <v>42963</v>
      </c>
      <c r="C94" t="str">
        <f>"BMLM5632601"</f>
        <v>BMLM5632601</v>
      </c>
      <c r="D94" t="s">
        <v>390</v>
      </c>
      <c r="F94" s="1">
        <v>10958</v>
      </c>
      <c r="G94" s="1">
        <v>864685.04</v>
      </c>
    </row>
    <row r="95" spans="1:7" x14ac:dyDescent="0.25">
      <c r="A95" s="2">
        <v>42952</v>
      </c>
      <c r="B95" s="2">
        <v>42963</v>
      </c>
      <c r="C95" t="str">
        <f>"BMLM5632701"</f>
        <v>BMLM5632701</v>
      </c>
      <c r="D95" t="s">
        <v>391</v>
      </c>
      <c r="F95" s="1">
        <v>1132</v>
      </c>
      <c r="G95" s="1">
        <v>864685.04</v>
      </c>
    </row>
    <row r="96" spans="1:7" x14ac:dyDescent="0.25">
      <c r="A96" s="2">
        <v>42952</v>
      </c>
      <c r="B96" s="2">
        <v>42963</v>
      </c>
      <c r="C96" t="str">
        <f>"BMLM5632801"</f>
        <v>BMLM5632801</v>
      </c>
      <c r="D96" t="s">
        <v>392</v>
      </c>
      <c r="F96" s="1">
        <v>1647</v>
      </c>
      <c r="G96" s="1">
        <v>864685.04</v>
      </c>
    </row>
    <row r="97" spans="1:7" x14ac:dyDescent="0.25">
      <c r="A97" s="2">
        <v>42952</v>
      </c>
      <c r="B97" s="2">
        <v>42963</v>
      </c>
      <c r="C97" t="str">
        <f>"BMLM5632901"</f>
        <v>BMLM5632901</v>
      </c>
      <c r="D97" t="s">
        <v>393</v>
      </c>
      <c r="F97" s="1">
        <v>1592</v>
      </c>
      <c r="G97" s="1">
        <v>864685.04</v>
      </c>
    </row>
    <row r="98" spans="1:7" x14ac:dyDescent="0.25">
      <c r="A98" s="2">
        <v>42952</v>
      </c>
      <c r="B98" s="2">
        <v>42963</v>
      </c>
      <c r="C98" t="str">
        <f>"BMLM5633001"</f>
        <v>BMLM5633001</v>
      </c>
      <c r="D98" t="s">
        <v>394</v>
      </c>
      <c r="F98">
        <v>377</v>
      </c>
      <c r="G98" s="1">
        <v>864685.04</v>
      </c>
    </row>
    <row r="99" spans="1:7" x14ac:dyDescent="0.25">
      <c r="A99" s="2">
        <v>42952</v>
      </c>
      <c r="B99" s="2">
        <v>42963</v>
      </c>
      <c r="C99" t="str">
        <f>"BMLM5633101"</f>
        <v>BMLM5633101</v>
      </c>
      <c r="D99" t="s">
        <v>395</v>
      </c>
      <c r="F99" s="1">
        <v>1400</v>
      </c>
      <c r="G99" s="1">
        <v>864685.04</v>
      </c>
    </row>
    <row r="100" spans="1:7" x14ac:dyDescent="0.25">
      <c r="A100" s="2">
        <v>42953</v>
      </c>
      <c r="B100" s="2">
        <v>42953</v>
      </c>
      <c r="C100" t="str">
        <f>"IDOA2886501"</f>
        <v>IDOA2886501</v>
      </c>
      <c r="D100" t="s">
        <v>396</v>
      </c>
      <c r="F100">
        <v>10</v>
      </c>
      <c r="G100" s="1">
        <v>1619221.72</v>
      </c>
    </row>
    <row r="101" spans="1:7" x14ac:dyDescent="0.25">
      <c r="A101" s="2">
        <v>42953</v>
      </c>
      <c r="B101" s="2">
        <v>42953</v>
      </c>
      <c r="C101" t="str">
        <f>"IDOA2886601"</f>
        <v>IDOA2886601</v>
      </c>
      <c r="D101" t="s">
        <v>396</v>
      </c>
      <c r="F101">
        <v>33</v>
      </c>
      <c r="G101" s="1">
        <v>1619254.72</v>
      </c>
    </row>
    <row r="102" spans="1:7" x14ac:dyDescent="0.25">
      <c r="A102" s="2">
        <v>42954</v>
      </c>
      <c r="B102" s="2">
        <v>42954</v>
      </c>
      <c r="C102" t="str">
        <f>"20170807093844066"</f>
        <v>20170807093844066</v>
      </c>
      <c r="D102" t="s">
        <v>397</v>
      </c>
      <c r="E102" s="1">
        <v>1116</v>
      </c>
      <c r="G102" s="1">
        <v>1618138.72</v>
      </c>
    </row>
    <row r="103" spans="1:7" x14ac:dyDescent="0.25">
      <c r="A103" s="2">
        <v>42954</v>
      </c>
      <c r="B103" s="2">
        <v>42954</v>
      </c>
      <c r="C103" t="str">
        <f>"ZMPWPLP36W6P1B5"</f>
        <v>ZMPWPLP36W6P1B5</v>
      </c>
      <c r="D103" t="s">
        <v>398</v>
      </c>
      <c r="F103" s="1">
        <v>12366</v>
      </c>
      <c r="G103" s="1">
        <v>1630504.72</v>
      </c>
    </row>
    <row r="104" spans="1:7" x14ac:dyDescent="0.25">
      <c r="A104" s="2">
        <v>42954</v>
      </c>
      <c r="B104" s="2">
        <v>42954</v>
      </c>
      <c r="C104" t="str">
        <f>"9908072017FNOB001"</f>
        <v>9908072017FNOB001</v>
      </c>
      <c r="D104" t="s">
        <v>399</v>
      </c>
      <c r="E104">
        <v>1</v>
      </c>
      <c r="G104" s="1">
        <v>1630503.72</v>
      </c>
    </row>
    <row r="105" spans="1:7" x14ac:dyDescent="0.25">
      <c r="A105" s="2">
        <v>42954</v>
      </c>
      <c r="B105" s="2">
        <v>42954</v>
      </c>
      <c r="C105" t="str">
        <f>"0JBT3YAO0MF09W6"</f>
        <v>0JBT3YAO0MF09W6</v>
      </c>
      <c r="D105" t="s">
        <v>400</v>
      </c>
      <c r="F105" s="1">
        <v>2012</v>
      </c>
      <c r="G105" s="1">
        <v>1633390.72</v>
      </c>
    </row>
    <row r="106" spans="1:7" x14ac:dyDescent="0.25">
      <c r="A106" s="2">
        <v>42954</v>
      </c>
      <c r="B106" s="2">
        <v>42954</v>
      </c>
      <c r="C106" t="str">
        <f>"0JBT3YAO0MF09W6"</f>
        <v>0JBT3YAO0MF09W6</v>
      </c>
      <c r="D106" t="s">
        <v>401</v>
      </c>
      <c r="F106" s="1">
        <v>3147</v>
      </c>
      <c r="G106" s="1">
        <v>1636537.72</v>
      </c>
    </row>
    <row r="107" spans="1:7" x14ac:dyDescent="0.25">
      <c r="A107" s="2">
        <v>42954</v>
      </c>
      <c r="B107" s="2">
        <v>42954</v>
      </c>
      <c r="C107" t="str">
        <f>"0JBT3YAO0MF09W6"</f>
        <v>0JBT3YAO0MF09W6</v>
      </c>
      <c r="D107" t="s">
        <v>402</v>
      </c>
      <c r="F107" s="1">
        <v>6040</v>
      </c>
      <c r="G107" s="1">
        <v>1642577.72</v>
      </c>
    </row>
    <row r="108" spans="1:7" x14ac:dyDescent="0.25">
      <c r="A108" s="2">
        <v>42954</v>
      </c>
      <c r="B108" s="2">
        <v>42954</v>
      </c>
      <c r="C108" t="str">
        <f>"0JBT3YAO0MF09W6"</f>
        <v>0JBT3YAO0MF09W6</v>
      </c>
      <c r="D108" t="s">
        <v>403</v>
      </c>
      <c r="F108" s="1">
        <v>10536</v>
      </c>
      <c r="G108" s="1">
        <v>1653113.72</v>
      </c>
    </row>
    <row r="109" spans="1:7" x14ac:dyDescent="0.25">
      <c r="A109" s="2">
        <v>42954</v>
      </c>
      <c r="B109" s="2">
        <v>42954</v>
      </c>
      <c r="C109" t="str">
        <f>"BMLM5647401"</f>
        <v>BMLM5647401</v>
      </c>
      <c r="D109" t="s">
        <v>36</v>
      </c>
      <c r="F109">
        <v>90</v>
      </c>
      <c r="G109" s="1">
        <v>1655111.72</v>
      </c>
    </row>
    <row r="110" spans="1:7" x14ac:dyDescent="0.25">
      <c r="A110" s="2">
        <v>42954</v>
      </c>
      <c r="B110" s="2">
        <v>42954</v>
      </c>
      <c r="C110" t="str">
        <f>"BMLM5647501"</f>
        <v>BMLM5647501</v>
      </c>
      <c r="D110" t="s">
        <v>36</v>
      </c>
      <c r="F110">
        <v>319</v>
      </c>
      <c r="G110" s="1">
        <v>1655430.72</v>
      </c>
    </row>
    <row r="111" spans="1:7" x14ac:dyDescent="0.25">
      <c r="A111" s="2">
        <v>42954</v>
      </c>
      <c r="B111" s="2">
        <v>42954</v>
      </c>
      <c r="C111" t="str">
        <f>"OUTGOING RTGS SW09907081743571SN148375/0"</f>
        <v>OUTGOING RTGS SW09907081743571SN148375/0</v>
      </c>
      <c r="D111" t="s">
        <v>404</v>
      </c>
      <c r="E111" s="1">
        <v>20446.080000000002</v>
      </c>
      <c r="G111" s="1">
        <v>1634984.64</v>
      </c>
    </row>
    <row r="112" spans="1:7" x14ac:dyDescent="0.25">
      <c r="A112" s="2">
        <v>42954</v>
      </c>
      <c r="B112" s="2">
        <v>42954</v>
      </c>
      <c r="C112" t="str">
        <f>"00225159"</f>
        <v>00225159</v>
      </c>
      <c r="D112" t="s">
        <v>19</v>
      </c>
      <c r="E112">
        <v>14.44</v>
      </c>
      <c r="G112" s="1">
        <v>1634970.2</v>
      </c>
    </row>
    <row r="113" spans="1:7" x14ac:dyDescent="0.25">
      <c r="A113" s="2">
        <v>42954</v>
      </c>
      <c r="B113" s="2">
        <v>42954</v>
      </c>
      <c r="C113" t="str">
        <f>"00569223"</f>
        <v>00569223</v>
      </c>
      <c r="D113" t="s">
        <v>20</v>
      </c>
      <c r="E113">
        <v>1.44</v>
      </c>
      <c r="G113" s="1">
        <v>1634968.76</v>
      </c>
    </row>
    <row r="114" spans="1:7" x14ac:dyDescent="0.25">
      <c r="A114" s="2">
        <v>42954</v>
      </c>
      <c r="B114" s="2">
        <v>42954</v>
      </c>
      <c r="C114" t="str">
        <f>"OUTGOING SWIFT SW09907081743581SN148278 "</f>
        <v xml:space="preserve">OUTGOING SWIFT SW09907081743581SN148278 </v>
      </c>
      <c r="D114" t="s">
        <v>405</v>
      </c>
      <c r="E114" s="1">
        <v>1912</v>
      </c>
      <c r="G114" s="1">
        <v>1633056.76</v>
      </c>
    </row>
    <row r="115" spans="1:7" x14ac:dyDescent="0.25">
      <c r="A115" s="2">
        <v>42954</v>
      </c>
      <c r="B115" s="2">
        <v>42954</v>
      </c>
      <c r="C115" t="str">
        <f>"00225164"</f>
        <v>00225164</v>
      </c>
      <c r="D115" t="s">
        <v>19</v>
      </c>
      <c r="E115">
        <v>14.44</v>
      </c>
      <c r="G115" s="1">
        <v>1633042.32</v>
      </c>
    </row>
    <row r="116" spans="1:7" x14ac:dyDescent="0.25">
      <c r="A116" s="2">
        <v>42954</v>
      </c>
      <c r="B116" s="2">
        <v>42954</v>
      </c>
      <c r="C116" t="str">
        <f>"00569227"</f>
        <v>00569227</v>
      </c>
      <c r="D116" t="s">
        <v>20</v>
      </c>
      <c r="E116">
        <v>1.44</v>
      </c>
      <c r="G116" s="1">
        <v>1633040.88</v>
      </c>
    </row>
    <row r="117" spans="1:7" x14ac:dyDescent="0.25">
      <c r="A117" s="2">
        <v>42954</v>
      </c>
      <c r="B117" s="2">
        <v>42954</v>
      </c>
      <c r="C117" t="str">
        <f>"OUTGOING SWIFT SW09907081743597SN148277/"</f>
        <v>OUTGOING SWIFT SW09907081743597SN148277/</v>
      </c>
      <c r="D117" t="s">
        <v>406</v>
      </c>
      <c r="E117" s="1">
        <v>2816</v>
      </c>
      <c r="G117" s="1">
        <v>1630224.88</v>
      </c>
    </row>
    <row r="118" spans="1:7" x14ac:dyDescent="0.25">
      <c r="A118" s="2">
        <v>42954</v>
      </c>
      <c r="B118" s="2">
        <v>42954</v>
      </c>
      <c r="C118" t="str">
        <f>"00225166"</f>
        <v>00225166</v>
      </c>
      <c r="D118" t="s">
        <v>19</v>
      </c>
      <c r="E118">
        <v>14.44</v>
      </c>
      <c r="G118" s="1">
        <v>1630210.44</v>
      </c>
    </row>
    <row r="119" spans="1:7" x14ac:dyDescent="0.25">
      <c r="A119" s="2">
        <v>42954</v>
      </c>
      <c r="B119" s="2">
        <v>42954</v>
      </c>
      <c r="C119" t="str">
        <f>"00569229"</f>
        <v>00569229</v>
      </c>
      <c r="D119" t="s">
        <v>20</v>
      </c>
      <c r="E119">
        <v>1.44</v>
      </c>
      <c r="G119" s="1">
        <v>1630209</v>
      </c>
    </row>
    <row r="120" spans="1:7" x14ac:dyDescent="0.25">
      <c r="A120" s="2">
        <v>42954</v>
      </c>
      <c r="B120" s="2">
        <v>42954</v>
      </c>
      <c r="C120" t="str">
        <f>"9908072017FNOB021"</f>
        <v>9908072017FNOB021</v>
      </c>
      <c r="D120" t="s">
        <v>407</v>
      </c>
      <c r="F120" s="1">
        <v>21245.45</v>
      </c>
      <c r="G120" s="1">
        <v>1651454.45</v>
      </c>
    </row>
    <row r="121" spans="1:7" x14ac:dyDescent="0.25">
      <c r="A121" s="2">
        <v>42954</v>
      </c>
      <c r="B121" s="2">
        <v>42954</v>
      </c>
      <c r="C121" t="str">
        <f>"9908072017FNOB021"</f>
        <v>9908072017FNOB021</v>
      </c>
      <c r="D121" t="s">
        <v>408</v>
      </c>
      <c r="E121">
        <v>10</v>
      </c>
      <c r="G121" s="1">
        <v>1651444.45</v>
      </c>
    </row>
    <row r="122" spans="1:7" x14ac:dyDescent="0.25">
      <c r="A122" s="2">
        <v>42954</v>
      </c>
      <c r="B122" s="2">
        <v>42954</v>
      </c>
      <c r="C122" t="str">
        <f>"9908072017FNOB021"</f>
        <v>9908072017FNOB021</v>
      </c>
      <c r="D122" t="s">
        <v>409</v>
      </c>
      <c r="E122">
        <v>1</v>
      </c>
      <c r="G122" s="1">
        <v>1651443.45</v>
      </c>
    </row>
    <row r="123" spans="1:7" x14ac:dyDescent="0.25">
      <c r="A123" s="2">
        <v>42954</v>
      </c>
      <c r="B123" s="2">
        <v>42964</v>
      </c>
      <c r="C123" t="str">
        <f>"BMLM5646601"</f>
        <v>BMLM5646601</v>
      </c>
      <c r="D123" t="s">
        <v>410</v>
      </c>
      <c r="F123">
        <v>350</v>
      </c>
      <c r="G123" s="1">
        <v>879985.96</v>
      </c>
    </row>
    <row r="124" spans="1:7" x14ac:dyDescent="0.25">
      <c r="A124" s="2">
        <v>42954</v>
      </c>
      <c r="B124" s="2">
        <v>42964</v>
      </c>
      <c r="C124" t="str">
        <f>"BMLM5646801"</f>
        <v>BMLM5646801</v>
      </c>
      <c r="D124" t="s">
        <v>411</v>
      </c>
      <c r="F124">
        <v>525</v>
      </c>
      <c r="G124" s="1">
        <v>879985.96</v>
      </c>
    </row>
    <row r="125" spans="1:7" x14ac:dyDescent="0.25">
      <c r="A125" s="2">
        <v>42954</v>
      </c>
      <c r="B125" s="2">
        <v>42964</v>
      </c>
      <c r="C125" t="str">
        <f>"BMLM5646901"</f>
        <v>BMLM5646901</v>
      </c>
      <c r="D125" t="s">
        <v>412</v>
      </c>
      <c r="F125" s="1">
        <v>1665</v>
      </c>
      <c r="G125" s="1">
        <v>879985.96</v>
      </c>
    </row>
    <row r="126" spans="1:7" x14ac:dyDescent="0.25">
      <c r="A126" s="2">
        <v>42954</v>
      </c>
      <c r="B126" s="2">
        <v>42964</v>
      </c>
      <c r="C126" t="str">
        <f>"BMLM5647001"</f>
        <v>BMLM5647001</v>
      </c>
      <c r="D126" t="s">
        <v>413</v>
      </c>
      <c r="F126">
        <v>243</v>
      </c>
      <c r="G126" s="1">
        <v>879985.96</v>
      </c>
    </row>
    <row r="127" spans="1:7" x14ac:dyDescent="0.25">
      <c r="A127" s="2">
        <v>42956</v>
      </c>
      <c r="B127" s="2">
        <v>42956</v>
      </c>
      <c r="C127" t="str">
        <f>"A921V9H14PBF21O"</f>
        <v>A921V9H14PBF21O</v>
      </c>
      <c r="D127" t="s">
        <v>414</v>
      </c>
      <c r="E127">
        <v>10</v>
      </c>
      <c r="G127" s="1">
        <v>1651433.45</v>
      </c>
    </row>
    <row r="128" spans="1:7" x14ac:dyDescent="0.25">
      <c r="A128" s="2">
        <v>42956</v>
      </c>
      <c r="B128" s="2">
        <v>42956</v>
      </c>
      <c r="C128" t="str">
        <f>"A921V9H14PBF21O"</f>
        <v>A921V9H14PBF21O</v>
      </c>
      <c r="D128" t="s">
        <v>415</v>
      </c>
      <c r="E128">
        <v>10</v>
      </c>
      <c r="G128" s="1">
        <v>1651423.45</v>
      </c>
    </row>
    <row r="129" spans="1:7" x14ac:dyDescent="0.25">
      <c r="A129" s="2">
        <v>42956</v>
      </c>
      <c r="B129" s="2">
        <v>42956</v>
      </c>
      <c r="C129" t="str">
        <f>"A921V9H14PBF21O"</f>
        <v>A921V9H14PBF21O</v>
      </c>
      <c r="D129" t="s">
        <v>416</v>
      </c>
      <c r="E129">
        <v>7.22</v>
      </c>
      <c r="G129" s="1">
        <v>1651416.23</v>
      </c>
    </row>
    <row r="130" spans="1:7" x14ac:dyDescent="0.25">
      <c r="A130" s="2">
        <v>42956</v>
      </c>
      <c r="B130" s="2">
        <v>42956</v>
      </c>
      <c r="C130" t="str">
        <f>"A921V9H14PBF21O"</f>
        <v>A921V9H14PBF21O</v>
      </c>
      <c r="D130" t="s">
        <v>417</v>
      </c>
      <c r="E130">
        <v>7.06</v>
      </c>
      <c r="G130" s="1">
        <v>1651409.17</v>
      </c>
    </row>
    <row r="131" spans="1:7" x14ac:dyDescent="0.25">
      <c r="A131" s="2">
        <v>42956</v>
      </c>
      <c r="B131" s="2">
        <v>42956</v>
      </c>
      <c r="C131" t="str">
        <f>"BD77XY6TJ6FOOQ5"</f>
        <v>BD77XY6TJ6FOOQ5</v>
      </c>
      <c r="D131" t="s">
        <v>418</v>
      </c>
      <c r="F131">
        <v>706</v>
      </c>
      <c r="G131" s="1">
        <v>1652115.17</v>
      </c>
    </row>
    <row r="132" spans="1:7" x14ac:dyDescent="0.25">
      <c r="A132" s="2">
        <v>42956</v>
      </c>
      <c r="B132" s="2">
        <v>42956</v>
      </c>
      <c r="C132" t="str">
        <f>"BD77XY6TJ6FOOQ5"</f>
        <v>BD77XY6TJ6FOOQ5</v>
      </c>
      <c r="D132" t="s">
        <v>419</v>
      </c>
      <c r="F132">
        <v>722</v>
      </c>
      <c r="G132" s="1">
        <v>1652837.17</v>
      </c>
    </row>
    <row r="133" spans="1:7" x14ac:dyDescent="0.25">
      <c r="A133" s="2">
        <v>42956</v>
      </c>
      <c r="B133" s="2">
        <v>42956</v>
      </c>
      <c r="C133" t="str">
        <f>"BD77XY6TJ6FOOQ5"</f>
        <v>BD77XY6TJ6FOOQ5</v>
      </c>
      <c r="D133" t="s">
        <v>420</v>
      </c>
      <c r="F133" s="1">
        <v>1255</v>
      </c>
      <c r="G133" s="1">
        <v>1654092.17</v>
      </c>
    </row>
    <row r="134" spans="1:7" x14ac:dyDescent="0.25">
      <c r="A134" s="2">
        <v>42956</v>
      </c>
      <c r="B134" s="2">
        <v>42956</v>
      </c>
      <c r="C134" t="str">
        <f>"BD77XY6TJ6FOOQ5"</f>
        <v>BD77XY6TJ6FOOQ5</v>
      </c>
      <c r="D134" t="s">
        <v>421</v>
      </c>
      <c r="F134" s="1">
        <v>4307</v>
      </c>
      <c r="G134" s="1">
        <v>1658399.17</v>
      </c>
    </row>
    <row r="135" spans="1:7" x14ac:dyDescent="0.25">
      <c r="A135" s="2">
        <v>42956</v>
      </c>
      <c r="B135" s="2">
        <v>42956</v>
      </c>
      <c r="C135" t="str">
        <f>"BD77XY6TJ6FOOQ5"</f>
        <v>BD77XY6TJ6FOOQ5</v>
      </c>
      <c r="D135" t="s">
        <v>422</v>
      </c>
      <c r="F135" s="1">
        <v>500000</v>
      </c>
      <c r="G135" s="1">
        <v>2158399.17</v>
      </c>
    </row>
    <row r="136" spans="1:7" x14ac:dyDescent="0.25">
      <c r="A136" s="2">
        <v>42956</v>
      </c>
      <c r="B136" s="2">
        <v>42956</v>
      </c>
      <c r="C136" t="str">
        <f>"WDSOB7DDPUFK87L"</f>
        <v>WDSOB7DDPUFK87L</v>
      </c>
      <c r="D136" t="s">
        <v>423</v>
      </c>
      <c r="F136" s="1">
        <v>18917</v>
      </c>
      <c r="G136" s="1">
        <v>2177316.17</v>
      </c>
    </row>
    <row r="137" spans="1:7" x14ac:dyDescent="0.25">
      <c r="A137" s="2">
        <v>42956</v>
      </c>
      <c r="B137" s="2">
        <v>42956</v>
      </c>
      <c r="C137" t="str">
        <f>"YW1HC3P45VPFEI1"</f>
        <v>YW1HC3P45VPFEI1</v>
      </c>
      <c r="D137" t="s">
        <v>424</v>
      </c>
      <c r="F137" s="1">
        <v>3009.34</v>
      </c>
      <c r="G137" s="1">
        <v>2180325.5099999998</v>
      </c>
    </row>
    <row r="138" spans="1:7" x14ac:dyDescent="0.25">
      <c r="A138" s="2">
        <v>42957</v>
      </c>
      <c r="B138" s="2">
        <v>42957</v>
      </c>
      <c r="C138" t="str">
        <f>"9908102017TBMA004"</f>
        <v>9908102017TBMA004</v>
      </c>
      <c r="D138" t="s">
        <v>425</v>
      </c>
      <c r="E138">
        <v>1</v>
      </c>
      <c r="G138" s="1">
        <v>2180324.5099999998</v>
      </c>
    </row>
    <row r="139" spans="1:7" x14ac:dyDescent="0.25">
      <c r="A139" s="2">
        <v>42957</v>
      </c>
      <c r="B139" s="2">
        <v>42957</v>
      </c>
      <c r="C139" t="str">
        <f>"9908102017TBMA004"</f>
        <v>9908102017TBMA004</v>
      </c>
      <c r="D139" t="s">
        <v>426</v>
      </c>
      <c r="F139" s="1">
        <v>16886</v>
      </c>
      <c r="G139" s="1">
        <v>2197210.5099999998</v>
      </c>
    </row>
    <row r="140" spans="1:7" x14ac:dyDescent="0.25">
      <c r="A140" s="2">
        <v>42957</v>
      </c>
      <c r="B140" s="2">
        <v>42957</v>
      </c>
      <c r="C140" t="str">
        <f>"9908102017TBMA004"</f>
        <v>9908102017TBMA004</v>
      </c>
      <c r="D140" t="s">
        <v>426</v>
      </c>
      <c r="E140">
        <v>10</v>
      </c>
      <c r="G140" s="1">
        <v>2197200.5099999998</v>
      </c>
    </row>
    <row r="141" spans="1:7" x14ac:dyDescent="0.25">
      <c r="A141" s="2">
        <v>42957</v>
      </c>
      <c r="B141" s="2">
        <v>42957</v>
      </c>
      <c r="C141" t="str">
        <f>"BMLM5652301"</f>
        <v>BMLM5652301</v>
      </c>
      <c r="D141" t="s">
        <v>36</v>
      </c>
      <c r="F141" s="1">
        <v>3394</v>
      </c>
      <c r="G141" s="1">
        <v>2207162.5099999998</v>
      </c>
    </row>
    <row r="142" spans="1:7" x14ac:dyDescent="0.25">
      <c r="A142" s="2">
        <v>42957</v>
      </c>
      <c r="B142" s="2">
        <v>42957</v>
      </c>
      <c r="C142" t="str">
        <f>"PT7XI4TEBQSGVCO"</f>
        <v>PT7XI4TEBQSGVCO</v>
      </c>
      <c r="D142" t="s">
        <v>427</v>
      </c>
      <c r="F142" s="1">
        <v>1220</v>
      </c>
      <c r="G142" s="1">
        <v>2208382.5099999998</v>
      </c>
    </row>
    <row r="143" spans="1:7" x14ac:dyDescent="0.25">
      <c r="A143" s="2">
        <v>42957</v>
      </c>
      <c r="B143" s="2">
        <v>42957</v>
      </c>
      <c r="C143" t="str">
        <f>"9908102017TBMA027"</f>
        <v>9908102017TBMA027</v>
      </c>
      <c r="D143" t="s">
        <v>428</v>
      </c>
      <c r="E143">
        <v>1</v>
      </c>
      <c r="G143" s="1">
        <v>2208381.5099999998</v>
      </c>
    </row>
    <row r="144" spans="1:7" x14ac:dyDescent="0.25">
      <c r="A144" s="2">
        <v>42957</v>
      </c>
      <c r="B144" s="2">
        <v>42968</v>
      </c>
      <c r="C144" t="str">
        <f>"BMLM5651701"</f>
        <v>BMLM5651701</v>
      </c>
      <c r="D144" t="s">
        <v>429</v>
      </c>
      <c r="F144">
        <v>980</v>
      </c>
      <c r="G144" s="1">
        <v>961591.54</v>
      </c>
    </row>
    <row r="145" spans="1:7" x14ac:dyDescent="0.25">
      <c r="A145" s="2">
        <v>42957</v>
      </c>
      <c r="B145" s="2">
        <v>42968</v>
      </c>
      <c r="C145" t="str">
        <f>"BMLM5651801"</f>
        <v>BMLM5651801</v>
      </c>
      <c r="D145" t="s">
        <v>430</v>
      </c>
      <c r="F145" s="1">
        <v>2245</v>
      </c>
      <c r="G145" s="1">
        <v>961591.54</v>
      </c>
    </row>
    <row r="146" spans="1:7" x14ac:dyDescent="0.25">
      <c r="A146" s="2">
        <v>42957</v>
      </c>
      <c r="B146" s="2">
        <v>42968</v>
      </c>
      <c r="C146" t="str">
        <f>"BMLM5651901"</f>
        <v>BMLM5651901</v>
      </c>
      <c r="D146" t="s">
        <v>431</v>
      </c>
      <c r="F146">
        <v>241</v>
      </c>
      <c r="G146" s="1">
        <v>961591.54</v>
      </c>
    </row>
    <row r="147" spans="1:7" x14ac:dyDescent="0.25">
      <c r="A147" s="2">
        <v>42957</v>
      </c>
      <c r="B147" s="2">
        <v>42968</v>
      </c>
      <c r="C147" t="str">
        <f>"BMLM5652001"</f>
        <v>BMLM5652001</v>
      </c>
      <c r="D147" t="s">
        <v>432</v>
      </c>
      <c r="F147" s="1">
        <v>1972</v>
      </c>
      <c r="G147" s="1">
        <v>961591.54</v>
      </c>
    </row>
    <row r="148" spans="1:7" x14ac:dyDescent="0.25">
      <c r="A148" s="2">
        <v>42957</v>
      </c>
      <c r="B148" s="2">
        <v>42968</v>
      </c>
      <c r="C148" t="str">
        <f>"BMLM5652101"</f>
        <v>BMLM5652101</v>
      </c>
      <c r="D148" t="s">
        <v>433</v>
      </c>
      <c r="F148" s="1">
        <v>1130</v>
      </c>
      <c r="G148" s="1">
        <v>961591.54</v>
      </c>
    </row>
    <row r="149" spans="1:7" x14ac:dyDescent="0.25">
      <c r="A149" s="2">
        <v>42958</v>
      </c>
      <c r="B149" s="2">
        <v>42958</v>
      </c>
      <c r="C149" t="str">
        <f>"9908102017TBMA028"</f>
        <v>9908102017TBMA028</v>
      </c>
      <c r="D149" t="s">
        <v>434</v>
      </c>
      <c r="E149">
        <v>0.72</v>
      </c>
      <c r="G149" s="1">
        <v>2208380.79</v>
      </c>
    </row>
    <row r="150" spans="1:7" x14ac:dyDescent="0.25">
      <c r="A150" s="2">
        <v>42958</v>
      </c>
      <c r="B150" s="2">
        <v>42958</v>
      </c>
      <c r="C150" t="str">
        <f>"9908102017TBMA028"</f>
        <v>9908102017TBMA028</v>
      </c>
      <c r="D150" t="s">
        <v>435</v>
      </c>
      <c r="E150">
        <v>0.71</v>
      </c>
      <c r="G150" s="1">
        <v>2208380.08</v>
      </c>
    </row>
    <row r="151" spans="1:7" x14ac:dyDescent="0.25">
      <c r="A151" s="2">
        <v>42958</v>
      </c>
      <c r="B151" s="2">
        <v>42958</v>
      </c>
      <c r="C151" t="str">
        <f>"9908102017FNOB018"</f>
        <v>9908102017FNOB018</v>
      </c>
      <c r="D151" t="s">
        <v>436</v>
      </c>
      <c r="E151">
        <v>1</v>
      </c>
      <c r="G151" s="1">
        <v>2208379.08</v>
      </c>
    </row>
    <row r="152" spans="1:7" x14ac:dyDescent="0.25">
      <c r="A152" s="2">
        <v>42958</v>
      </c>
      <c r="B152" s="2">
        <v>42958</v>
      </c>
      <c r="C152" t="str">
        <f>"CRFQBYUFU2PIK05Z"</f>
        <v>CRFQBYUFU2PIK05Z</v>
      </c>
      <c r="D152" t="s">
        <v>437</v>
      </c>
      <c r="F152">
        <v>124</v>
      </c>
      <c r="G152" s="1">
        <v>2208503.08</v>
      </c>
    </row>
    <row r="153" spans="1:7" x14ac:dyDescent="0.25">
      <c r="A153" s="2">
        <v>42958</v>
      </c>
      <c r="B153" s="2">
        <v>42958</v>
      </c>
      <c r="C153" t="str">
        <f>"9908112017TBMA010"</f>
        <v>9908112017TBMA010</v>
      </c>
      <c r="D153" t="s">
        <v>438</v>
      </c>
      <c r="F153" s="1">
        <v>3751</v>
      </c>
      <c r="G153" s="1">
        <v>2212254.08</v>
      </c>
    </row>
    <row r="154" spans="1:7" x14ac:dyDescent="0.25">
      <c r="A154" s="2">
        <v>42958</v>
      </c>
      <c r="B154" s="2">
        <v>42958</v>
      </c>
      <c r="C154" t="str">
        <f>"9908112017TBMA010"</f>
        <v>9908112017TBMA010</v>
      </c>
      <c r="D154" t="s">
        <v>439</v>
      </c>
      <c r="E154">
        <v>1</v>
      </c>
      <c r="G154" s="1">
        <v>2212253.08</v>
      </c>
    </row>
    <row r="155" spans="1:7" x14ac:dyDescent="0.25">
      <c r="A155" s="2">
        <v>42958</v>
      </c>
      <c r="B155" s="2">
        <v>42958</v>
      </c>
      <c r="C155" t="str">
        <f>"9908112017TBMA010"</f>
        <v>9908112017TBMA010</v>
      </c>
      <c r="D155" t="s">
        <v>438</v>
      </c>
      <c r="E155">
        <v>10</v>
      </c>
      <c r="G155" s="1">
        <v>2212243.08</v>
      </c>
    </row>
    <row r="156" spans="1:7" x14ac:dyDescent="0.25">
      <c r="A156" s="2">
        <v>42958</v>
      </c>
      <c r="B156" s="2">
        <v>42958</v>
      </c>
      <c r="C156" t="str">
        <f>"BR2YUGGGDK4B5YN"</f>
        <v>BR2YUGGGDK4B5YN</v>
      </c>
      <c r="D156" t="s">
        <v>440</v>
      </c>
      <c r="F156">
        <v>273</v>
      </c>
      <c r="G156" s="1">
        <v>2212516.08</v>
      </c>
    </row>
    <row r="157" spans="1:7" x14ac:dyDescent="0.25">
      <c r="A157" s="2">
        <v>42961</v>
      </c>
      <c r="B157" s="2">
        <v>42961</v>
      </c>
      <c r="C157" t="str">
        <f>"HERIRBFBF3JR6P4"</f>
        <v>HERIRBFBF3JR6P4</v>
      </c>
      <c r="D157" t="s">
        <v>441</v>
      </c>
      <c r="F157">
        <v>340</v>
      </c>
      <c r="G157" s="1">
        <v>2212856.08</v>
      </c>
    </row>
    <row r="158" spans="1:7" x14ac:dyDescent="0.25">
      <c r="A158" s="2">
        <v>42961</v>
      </c>
      <c r="B158" s="2">
        <v>42961</v>
      </c>
      <c r="C158" t="str">
        <f>"LYH839OYHRGMZ3Y"</f>
        <v>LYH839OYHRGMZ3Y</v>
      </c>
      <c r="D158" t="s">
        <v>442</v>
      </c>
      <c r="F158" s="1">
        <v>2695</v>
      </c>
      <c r="G158" s="1">
        <v>2215551.08</v>
      </c>
    </row>
    <row r="159" spans="1:7" x14ac:dyDescent="0.25">
      <c r="A159" s="2">
        <v>42961</v>
      </c>
      <c r="B159" s="2">
        <v>42961</v>
      </c>
      <c r="C159" t="str">
        <f>"LYH839OYHRGMZ3Y"</f>
        <v>LYH839OYHRGMZ3Y</v>
      </c>
      <c r="D159" t="s">
        <v>443</v>
      </c>
      <c r="F159" s="1">
        <v>7087</v>
      </c>
      <c r="G159" s="1">
        <v>2222638.0800000001</v>
      </c>
    </row>
    <row r="160" spans="1:7" x14ac:dyDescent="0.25">
      <c r="A160" s="2">
        <v>42961</v>
      </c>
      <c r="B160" s="2">
        <v>42961</v>
      </c>
      <c r="C160" t="str">
        <f>"LYH839OYHRGMZ3Y"</f>
        <v>LYH839OYHRGMZ3Y</v>
      </c>
      <c r="D160" t="s">
        <v>444</v>
      </c>
      <c r="F160" s="1">
        <v>8435</v>
      </c>
      <c r="G160" s="1">
        <v>2231073.08</v>
      </c>
    </row>
    <row r="161" spans="1:7" x14ac:dyDescent="0.25">
      <c r="A161" s="2">
        <v>42961</v>
      </c>
      <c r="B161" s="2">
        <v>42961</v>
      </c>
      <c r="C161" t="str">
        <f>"H69Z0RAPKQ1TZJ8"</f>
        <v>H69Z0RAPKQ1TZJ8</v>
      </c>
      <c r="D161" t="s">
        <v>445</v>
      </c>
      <c r="F161" s="1">
        <v>23510</v>
      </c>
      <c r="G161" s="1">
        <v>2254583.08</v>
      </c>
    </row>
    <row r="162" spans="1:7" x14ac:dyDescent="0.25">
      <c r="A162" s="2">
        <v>42962</v>
      </c>
      <c r="B162" s="2">
        <v>42962</v>
      </c>
      <c r="C162" t="str">
        <f>"WRZNHK66OM8ZVGT"</f>
        <v>WRZNHK66OM8ZVGT</v>
      </c>
      <c r="D162" t="s">
        <v>446</v>
      </c>
      <c r="F162">
        <v>147</v>
      </c>
      <c r="G162" s="1">
        <v>2254730.08</v>
      </c>
    </row>
    <row r="163" spans="1:7" x14ac:dyDescent="0.25">
      <c r="A163" s="2">
        <v>42962</v>
      </c>
      <c r="B163" s="2">
        <v>42962</v>
      </c>
      <c r="C163" t="str">
        <f>"WRZNHK66OM8ZVGT"</f>
        <v>WRZNHK66OM8ZVGT</v>
      </c>
      <c r="D163" t="s">
        <v>447</v>
      </c>
      <c r="F163">
        <v>201</v>
      </c>
      <c r="G163" s="1">
        <v>2254931.08</v>
      </c>
    </row>
    <row r="164" spans="1:7" x14ac:dyDescent="0.25">
      <c r="A164" s="2">
        <v>42962</v>
      </c>
      <c r="B164" s="2">
        <v>42962</v>
      </c>
      <c r="C164" t="str">
        <f>"WRZNHK66OM8ZVGT"</f>
        <v>WRZNHK66OM8ZVGT</v>
      </c>
      <c r="D164" t="s">
        <v>448</v>
      </c>
      <c r="F164" s="1">
        <v>8413</v>
      </c>
      <c r="G164" s="1">
        <v>2263344.08</v>
      </c>
    </row>
    <row r="165" spans="1:7" x14ac:dyDescent="0.25">
      <c r="A165" s="2">
        <v>42962</v>
      </c>
      <c r="B165" s="2">
        <v>42962</v>
      </c>
      <c r="C165" t="str">
        <f>"GTB0099174398"</f>
        <v>GTB0099174398</v>
      </c>
      <c r="D165" t="s">
        <v>449</v>
      </c>
      <c r="F165" s="1">
        <v>2000</v>
      </c>
      <c r="G165" s="1">
        <v>2265344.08</v>
      </c>
    </row>
    <row r="166" spans="1:7" x14ac:dyDescent="0.25">
      <c r="A166" s="2">
        <v>42962</v>
      </c>
      <c r="B166" s="2">
        <v>42962</v>
      </c>
      <c r="C166" t="str">
        <f>"BKNN1801501"</f>
        <v>BKNN1801501</v>
      </c>
      <c r="D166" t="s">
        <v>450</v>
      </c>
      <c r="E166" s="1">
        <v>3892</v>
      </c>
      <c r="G166" s="1">
        <v>2261452.08</v>
      </c>
    </row>
    <row r="167" spans="1:7" x14ac:dyDescent="0.25">
      <c r="A167" s="2">
        <v>42962</v>
      </c>
      <c r="B167" s="2">
        <v>42962</v>
      </c>
      <c r="C167" t="str">
        <f>"OUTGOING RTGS SW09915081745743SN148928 C"</f>
        <v>OUTGOING RTGS SW09915081745743SN148928 C</v>
      </c>
      <c r="D167" t="s">
        <v>451</v>
      </c>
      <c r="E167" s="1">
        <v>600640.81999999995</v>
      </c>
      <c r="G167" s="1">
        <v>1660811.26</v>
      </c>
    </row>
    <row r="168" spans="1:7" x14ac:dyDescent="0.25">
      <c r="A168" s="2">
        <v>42962</v>
      </c>
      <c r="B168" s="2">
        <v>42962</v>
      </c>
      <c r="C168" t="str">
        <f>"00225847"</f>
        <v>00225847</v>
      </c>
      <c r="D168" t="s">
        <v>452</v>
      </c>
      <c r="E168">
        <v>4.8099999999999996</v>
      </c>
      <c r="G168" s="1">
        <v>1660806.45</v>
      </c>
    </row>
    <row r="169" spans="1:7" x14ac:dyDescent="0.25">
      <c r="A169" s="2">
        <v>42962</v>
      </c>
      <c r="B169" s="2">
        <v>42962</v>
      </c>
      <c r="C169" t="str">
        <f>"00002378"</f>
        <v>00002378</v>
      </c>
      <c r="D169" t="s">
        <v>453</v>
      </c>
      <c r="E169">
        <v>0.48</v>
      </c>
      <c r="G169" s="1">
        <v>1660805.97</v>
      </c>
    </row>
    <row r="170" spans="1:7" x14ac:dyDescent="0.25">
      <c r="A170" s="2">
        <v>42962</v>
      </c>
      <c r="B170" s="2">
        <v>42962</v>
      </c>
      <c r="C170" t="str">
        <f>"OUTGOING RTGS SW09915081745719SN148927 C"</f>
        <v>OUTGOING RTGS SW09915081745719SN148927 C</v>
      </c>
      <c r="D170" t="s">
        <v>454</v>
      </c>
      <c r="E170" s="1">
        <v>797040.64000000001</v>
      </c>
      <c r="G170" s="1">
        <v>863765.33</v>
      </c>
    </row>
    <row r="171" spans="1:7" x14ac:dyDescent="0.25">
      <c r="A171" s="2">
        <v>42962</v>
      </c>
      <c r="B171" s="2">
        <v>42962</v>
      </c>
      <c r="C171" t="str">
        <f>"00225848"</f>
        <v>00225848</v>
      </c>
      <c r="D171" t="s">
        <v>452</v>
      </c>
      <c r="E171">
        <v>4.8099999999999996</v>
      </c>
      <c r="G171" s="1">
        <v>863760.52</v>
      </c>
    </row>
    <row r="172" spans="1:7" x14ac:dyDescent="0.25">
      <c r="A172" s="2">
        <v>42962</v>
      </c>
      <c r="B172" s="2">
        <v>42962</v>
      </c>
      <c r="C172" t="str">
        <f>"00002379"</f>
        <v>00002379</v>
      </c>
      <c r="D172" t="s">
        <v>453</v>
      </c>
      <c r="E172">
        <v>0.48</v>
      </c>
      <c r="G172" s="1">
        <v>863760.04</v>
      </c>
    </row>
    <row r="173" spans="1:7" x14ac:dyDescent="0.25">
      <c r="A173" s="2">
        <v>42962</v>
      </c>
      <c r="B173" s="2">
        <v>42962</v>
      </c>
      <c r="C173" t="str">
        <f>"BMLM5673301"</f>
        <v>BMLM5673301</v>
      </c>
      <c r="D173" t="s">
        <v>36</v>
      </c>
      <c r="F173">
        <v>925</v>
      </c>
      <c r="G173" s="1">
        <v>864685.04</v>
      </c>
    </row>
    <row r="174" spans="1:7" x14ac:dyDescent="0.25">
      <c r="A174" s="2">
        <v>42963</v>
      </c>
      <c r="B174" s="2">
        <v>42963</v>
      </c>
      <c r="C174" t="str">
        <f>"20170816093146878"</f>
        <v>20170816093146878</v>
      </c>
      <c r="D174" t="s">
        <v>455</v>
      </c>
      <c r="E174" s="1">
        <v>3365.08</v>
      </c>
      <c r="G174" s="1">
        <v>861319.96</v>
      </c>
    </row>
    <row r="175" spans="1:7" x14ac:dyDescent="0.25">
      <c r="A175" s="2">
        <v>42963</v>
      </c>
      <c r="B175" s="2">
        <v>42963</v>
      </c>
      <c r="C175" t="str">
        <f>"PS67D7I1WEFOMNH"</f>
        <v>PS67D7I1WEFOMNH</v>
      </c>
      <c r="D175" t="s">
        <v>456</v>
      </c>
      <c r="F175" s="1">
        <v>7600</v>
      </c>
      <c r="G175" s="1">
        <v>868919.96</v>
      </c>
    </row>
    <row r="176" spans="1:7" x14ac:dyDescent="0.25">
      <c r="A176" s="2">
        <v>42963</v>
      </c>
      <c r="B176" s="2">
        <v>42963</v>
      </c>
      <c r="C176" t="str">
        <f>"J2FQR9K9HUWX5NT"</f>
        <v>J2FQR9K9HUWX5NT</v>
      </c>
      <c r="D176" t="s">
        <v>457</v>
      </c>
      <c r="F176">
        <v>472</v>
      </c>
      <c r="G176" s="1">
        <v>869391.96</v>
      </c>
    </row>
    <row r="177" spans="1:7" x14ac:dyDescent="0.25">
      <c r="A177" s="2">
        <v>42963</v>
      </c>
      <c r="B177" s="2">
        <v>42963</v>
      </c>
      <c r="C177" t="str">
        <f>"9908162017TBMA008"</f>
        <v>9908162017TBMA008</v>
      </c>
      <c r="D177" t="s">
        <v>458</v>
      </c>
      <c r="E177">
        <v>10</v>
      </c>
      <c r="G177" s="1">
        <v>869381.96</v>
      </c>
    </row>
    <row r="178" spans="1:7" x14ac:dyDescent="0.25">
      <c r="A178" s="2">
        <v>42963</v>
      </c>
      <c r="B178" s="2">
        <v>42963</v>
      </c>
      <c r="C178" t="str">
        <f>"9908162017TBMA008"</f>
        <v>9908162017TBMA008</v>
      </c>
      <c r="D178" t="s">
        <v>458</v>
      </c>
      <c r="F178">
        <v>970</v>
      </c>
      <c r="G178" s="1">
        <v>870351.96</v>
      </c>
    </row>
    <row r="179" spans="1:7" x14ac:dyDescent="0.25">
      <c r="A179" s="2">
        <v>42963</v>
      </c>
      <c r="B179" s="2">
        <v>42963</v>
      </c>
      <c r="C179" t="str">
        <f>"9908162017TBMA008"</f>
        <v>9908162017TBMA008</v>
      </c>
      <c r="D179" t="s">
        <v>459</v>
      </c>
      <c r="E179">
        <v>1</v>
      </c>
      <c r="G179" s="1">
        <v>870350.96</v>
      </c>
    </row>
    <row r="180" spans="1:7" x14ac:dyDescent="0.25">
      <c r="A180" s="2">
        <v>42963</v>
      </c>
      <c r="B180" s="2">
        <v>42963</v>
      </c>
      <c r="C180" t="str">
        <f>"BMLM5676101"</f>
        <v>BMLM5676101</v>
      </c>
      <c r="D180" t="s">
        <v>36</v>
      </c>
      <c r="F180" s="1">
        <v>1990</v>
      </c>
      <c r="G180" s="1">
        <v>872340.96</v>
      </c>
    </row>
    <row r="181" spans="1:7" x14ac:dyDescent="0.25">
      <c r="A181" s="2">
        <v>42963</v>
      </c>
      <c r="B181" s="2">
        <v>42972</v>
      </c>
      <c r="C181" t="str">
        <f>"BMLM5676601"</f>
        <v>BMLM5676601</v>
      </c>
      <c r="D181" t="s">
        <v>460</v>
      </c>
      <c r="F181" s="1">
        <v>5675</v>
      </c>
      <c r="G181" s="1">
        <v>2054099.05</v>
      </c>
    </row>
    <row r="182" spans="1:7" x14ac:dyDescent="0.25">
      <c r="A182" s="2">
        <v>42963</v>
      </c>
      <c r="B182" s="2">
        <v>42972</v>
      </c>
      <c r="C182" t="str">
        <f>"BMLM5676701"</f>
        <v>BMLM5676701</v>
      </c>
      <c r="D182" t="s">
        <v>461</v>
      </c>
      <c r="F182">
        <v>351</v>
      </c>
      <c r="G182" s="1">
        <v>2054099.05</v>
      </c>
    </row>
    <row r="183" spans="1:7" x14ac:dyDescent="0.25">
      <c r="A183" s="2">
        <v>42963</v>
      </c>
      <c r="B183" s="2">
        <v>42972</v>
      </c>
      <c r="C183" t="str">
        <f>"BMLM5676801"</f>
        <v>BMLM5676801</v>
      </c>
      <c r="D183" t="s">
        <v>462</v>
      </c>
      <c r="F183">
        <v>209</v>
      </c>
      <c r="G183" s="1">
        <v>2054099.05</v>
      </c>
    </row>
    <row r="184" spans="1:7" x14ac:dyDescent="0.25">
      <c r="A184" s="2">
        <v>42963</v>
      </c>
      <c r="B184" s="2">
        <v>42972</v>
      </c>
      <c r="C184" t="str">
        <f>"BMLM5676901"</f>
        <v>BMLM5676901</v>
      </c>
      <c r="D184" t="s">
        <v>463</v>
      </c>
      <c r="F184">
        <v>241</v>
      </c>
      <c r="G184" s="1">
        <v>2054099.05</v>
      </c>
    </row>
    <row r="185" spans="1:7" x14ac:dyDescent="0.25">
      <c r="A185" s="2">
        <v>42963</v>
      </c>
      <c r="B185" s="2">
        <v>42972</v>
      </c>
      <c r="C185" t="str">
        <f>"BMLM5677001"</f>
        <v>BMLM5677001</v>
      </c>
      <c r="D185" t="s">
        <v>464</v>
      </c>
      <c r="F185">
        <v>367</v>
      </c>
      <c r="G185" s="1">
        <v>2054099.05</v>
      </c>
    </row>
    <row r="186" spans="1:7" x14ac:dyDescent="0.25">
      <c r="A186" s="2">
        <v>42963</v>
      </c>
      <c r="B186" s="2">
        <v>42972</v>
      </c>
      <c r="C186" t="str">
        <f>"BMLM5677101"</f>
        <v>BMLM5677101</v>
      </c>
      <c r="D186" t="s">
        <v>465</v>
      </c>
      <c r="F186">
        <v>802</v>
      </c>
      <c r="G186" s="1">
        <v>2054099.05</v>
      </c>
    </row>
    <row r="187" spans="1:7" x14ac:dyDescent="0.25">
      <c r="A187" s="2">
        <v>42964</v>
      </c>
      <c r="B187" s="2">
        <v>42964</v>
      </c>
      <c r="C187" t="str">
        <f>"HRHFILJ9R69TVDA"</f>
        <v>HRHFILJ9R69TVDA</v>
      </c>
      <c r="D187" t="s">
        <v>466</v>
      </c>
      <c r="F187" s="1">
        <v>7064.4</v>
      </c>
      <c r="G187" s="1">
        <v>887050.36</v>
      </c>
    </row>
    <row r="188" spans="1:7" x14ac:dyDescent="0.25">
      <c r="A188" s="2">
        <v>42964</v>
      </c>
      <c r="B188" s="2">
        <v>42964</v>
      </c>
      <c r="C188" t="str">
        <f>"0EIF73LFUGKG0DJ"</f>
        <v>0EIF73LFUGKG0DJ</v>
      </c>
      <c r="D188" t="s">
        <v>467</v>
      </c>
      <c r="E188">
        <v>10</v>
      </c>
      <c r="G188" s="1">
        <v>887040.36</v>
      </c>
    </row>
    <row r="189" spans="1:7" x14ac:dyDescent="0.25">
      <c r="A189" s="2">
        <v>42964</v>
      </c>
      <c r="B189" s="2">
        <v>42964</v>
      </c>
      <c r="C189" t="str">
        <f>"RQ6F5MN5T2R51A0"</f>
        <v>RQ6F5MN5T2R51A0</v>
      </c>
      <c r="D189" t="s">
        <v>468</v>
      </c>
      <c r="F189" s="1">
        <v>2100</v>
      </c>
      <c r="G189" s="1">
        <v>889140.36</v>
      </c>
    </row>
    <row r="190" spans="1:7" x14ac:dyDescent="0.25">
      <c r="A190" s="2">
        <v>42964</v>
      </c>
      <c r="B190" s="2">
        <v>42964</v>
      </c>
      <c r="C190" t="str">
        <f>"RQ6F5MN5T2R51A0"</f>
        <v>RQ6F5MN5T2R51A0</v>
      </c>
      <c r="D190" t="s">
        <v>469</v>
      </c>
      <c r="F190" s="1">
        <v>3636</v>
      </c>
      <c r="G190" s="1">
        <v>892776.36</v>
      </c>
    </row>
    <row r="191" spans="1:7" x14ac:dyDescent="0.25">
      <c r="A191" s="2">
        <v>42964</v>
      </c>
      <c r="B191" s="2">
        <v>42964</v>
      </c>
      <c r="C191" t="str">
        <f>"X9THNB3UVWWFA04"</f>
        <v>X9THNB3UVWWFA04</v>
      </c>
      <c r="D191" t="s">
        <v>470</v>
      </c>
      <c r="F191" s="1">
        <v>28489</v>
      </c>
      <c r="G191" s="1">
        <v>921265.36</v>
      </c>
    </row>
    <row r="192" spans="1:7" x14ac:dyDescent="0.25">
      <c r="A192" s="2">
        <v>42964</v>
      </c>
      <c r="B192" s="2">
        <v>42964</v>
      </c>
      <c r="C192" t="str">
        <f>"BSAO8614802"</f>
        <v>BSAO8614802</v>
      </c>
      <c r="D192" t="s">
        <v>471</v>
      </c>
      <c r="E192" s="1">
        <v>5118.92</v>
      </c>
      <c r="G192" s="1">
        <v>916146.44</v>
      </c>
    </row>
    <row r="193" spans="1:7" x14ac:dyDescent="0.25">
      <c r="A193" s="2">
        <v>42964</v>
      </c>
      <c r="B193" s="2">
        <v>42964</v>
      </c>
      <c r="C193" t="str">
        <f>"BJNW6794601"</f>
        <v>BJNW6794601</v>
      </c>
      <c r="D193" t="s">
        <v>472</v>
      </c>
      <c r="F193" s="1">
        <v>1730</v>
      </c>
      <c r="G193" s="1">
        <v>917876.44</v>
      </c>
    </row>
    <row r="194" spans="1:7" x14ac:dyDescent="0.25">
      <c r="A194" s="2">
        <v>42964</v>
      </c>
      <c r="B194" s="2">
        <v>42964</v>
      </c>
      <c r="C194" t="str">
        <f>"BJNW6794701"</f>
        <v>BJNW6794701</v>
      </c>
      <c r="D194" t="s">
        <v>472</v>
      </c>
      <c r="F194">
        <v>488</v>
      </c>
      <c r="G194" s="1">
        <v>918364.44</v>
      </c>
    </row>
    <row r="195" spans="1:7" x14ac:dyDescent="0.25">
      <c r="A195" s="2">
        <v>42964</v>
      </c>
      <c r="B195" s="2">
        <v>42964</v>
      </c>
      <c r="C195" t="str">
        <f>"9908172017ENNA006"</f>
        <v>9908172017ENNA006</v>
      </c>
      <c r="D195" t="s">
        <v>473</v>
      </c>
      <c r="F195" s="1">
        <v>4650</v>
      </c>
      <c r="G195" s="1">
        <v>925169.44</v>
      </c>
    </row>
    <row r="196" spans="1:7" x14ac:dyDescent="0.25">
      <c r="A196" s="2">
        <v>42964</v>
      </c>
      <c r="B196" s="2">
        <v>42975</v>
      </c>
      <c r="C196" t="str">
        <f>"BJNW6795101"</f>
        <v>BJNW6795101</v>
      </c>
      <c r="D196" t="s">
        <v>474</v>
      </c>
      <c r="F196" s="1">
        <v>2155</v>
      </c>
      <c r="G196" s="1">
        <v>2338584.9700000002</v>
      </c>
    </row>
    <row r="197" spans="1:7" x14ac:dyDescent="0.25">
      <c r="A197" s="2">
        <v>42965</v>
      </c>
      <c r="B197" s="2">
        <v>42965</v>
      </c>
      <c r="C197" t="str">
        <f>"9908182017TBMA000"</f>
        <v>9908182017TBMA000</v>
      </c>
      <c r="D197" t="s">
        <v>475</v>
      </c>
      <c r="E197">
        <v>1</v>
      </c>
      <c r="G197" s="1">
        <v>925168.44</v>
      </c>
    </row>
    <row r="198" spans="1:7" x14ac:dyDescent="0.25">
      <c r="A198" s="2">
        <v>42965</v>
      </c>
      <c r="B198" s="2">
        <v>42965</v>
      </c>
      <c r="C198" t="str">
        <f>"20170818101714413"</f>
        <v>20170818101714413</v>
      </c>
      <c r="D198" t="s">
        <v>476</v>
      </c>
      <c r="E198" s="1">
        <v>6850.27</v>
      </c>
      <c r="G198" s="1">
        <v>918318.17</v>
      </c>
    </row>
    <row r="199" spans="1:7" x14ac:dyDescent="0.25">
      <c r="A199" s="2">
        <v>42965</v>
      </c>
      <c r="B199" s="2">
        <v>42965</v>
      </c>
      <c r="C199" t="str">
        <f>"20170818101714413"</f>
        <v>20170818101714413</v>
      </c>
      <c r="D199" t="s">
        <v>477</v>
      </c>
      <c r="E199">
        <v>300</v>
      </c>
      <c r="G199" s="1">
        <v>918018.17</v>
      </c>
    </row>
    <row r="200" spans="1:7" x14ac:dyDescent="0.25">
      <c r="A200" s="2">
        <v>42965</v>
      </c>
      <c r="B200" s="2">
        <v>42965</v>
      </c>
      <c r="C200" t="str">
        <f>"9908182017TBMA005"</f>
        <v>9908182017TBMA005</v>
      </c>
      <c r="D200" t="s">
        <v>478</v>
      </c>
      <c r="E200">
        <v>10</v>
      </c>
      <c r="G200" s="1">
        <v>918008.17</v>
      </c>
    </row>
    <row r="201" spans="1:7" x14ac:dyDescent="0.25">
      <c r="A201" s="2">
        <v>42965</v>
      </c>
      <c r="B201" s="2">
        <v>42965</v>
      </c>
      <c r="C201" t="str">
        <f>"9908182017TBMA005"</f>
        <v>9908182017TBMA005</v>
      </c>
      <c r="D201" t="s">
        <v>478</v>
      </c>
      <c r="F201" s="1">
        <v>7824.87</v>
      </c>
      <c r="G201" s="1">
        <v>925833.04</v>
      </c>
    </row>
    <row r="202" spans="1:7" x14ac:dyDescent="0.25">
      <c r="A202" s="2">
        <v>42965</v>
      </c>
      <c r="B202" s="2">
        <v>42965</v>
      </c>
      <c r="C202" t="str">
        <f>"9908182017TBMA005"</f>
        <v>9908182017TBMA005</v>
      </c>
      <c r="D202" t="s">
        <v>479</v>
      </c>
      <c r="E202">
        <v>1</v>
      </c>
      <c r="G202" s="1">
        <v>925832.04</v>
      </c>
    </row>
    <row r="203" spans="1:7" x14ac:dyDescent="0.25">
      <c r="A203" s="2">
        <v>42965</v>
      </c>
      <c r="B203" s="2">
        <v>42965</v>
      </c>
      <c r="C203" t="str">
        <f>"9908182017TBMA011"</f>
        <v>9908182017TBMA011</v>
      </c>
      <c r="D203" t="s">
        <v>480</v>
      </c>
      <c r="F203">
        <v>180</v>
      </c>
      <c r="G203" s="1">
        <v>926012.04</v>
      </c>
    </row>
    <row r="204" spans="1:7" x14ac:dyDescent="0.25">
      <c r="A204" s="2">
        <v>42965</v>
      </c>
      <c r="B204" s="2">
        <v>42965</v>
      </c>
      <c r="C204" t="str">
        <f>"9908182017TBMA011"</f>
        <v>9908182017TBMA011</v>
      </c>
      <c r="D204" t="s">
        <v>480</v>
      </c>
      <c r="E204">
        <v>5</v>
      </c>
      <c r="G204" s="1">
        <v>926007.04</v>
      </c>
    </row>
    <row r="205" spans="1:7" x14ac:dyDescent="0.25">
      <c r="A205" s="2">
        <v>42965</v>
      </c>
      <c r="B205" s="2">
        <v>42965</v>
      </c>
      <c r="C205" t="str">
        <f>"9908182017TBMA011"</f>
        <v>9908182017TBMA011</v>
      </c>
      <c r="D205" t="s">
        <v>481</v>
      </c>
      <c r="E205">
        <v>0.5</v>
      </c>
      <c r="G205" s="1">
        <v>926006.54</v>
      </c>
    </row>
    <row r="206" spans="1:7" x14ac:dyDescent="0.25">
      <c r="A206" s="2">
        <v>42965</v>
      </c>
      <c r="B206" s="2">
        <v>42965</v>
      </c>
      <c r="C206" t="str">
        <f>"TTYWSI44KZ6IFBZ"</f>
        <v>TTYWSI44KZ6IFBZ</v>
      </c>
      <c r="D206" t="s">
        <v>482</v>
      </c>
      <c r="F206" s="1">
        <v>2391</v>
      </c>
      <c r="G206" s="1">
        <v>928397.54</v>
      </c>
    </row>
    <row r="207" spans="1:7" x14ac:dyDescent="0.25">
      <c r="A207" s="2">
        <v>42965</v>
      </c>
      <c r="B207" s="2">
        <v>42965</v>
      </c>
      <c r="C207" t="str">
        <f>"BMLM5683401"</f>
        <v>BMLM5683401</v>
      </c>
      <c r="D207" t="s">
        <v>36</v>
      </c>
      <c r="F207">
        <v>136</v>
      </c>
      <c r="G207" s="1">
        <v>942092.54</v>
      </c>
    </row>
    <row r="208" spans="1:7" x14ac:dyDescent="0.25">
      <c r="A208" s="2">
        <v>42965</v>
      </c>
      <c r="B208" s="2">
        <v>42965</v>
      </c>
      <c r="C208" t="str">
        <f>"BMLM5683501"</f>
        <v>BMLM5683501</v>
      </c>
      <c r="D208" t="s">
        <v>36</v>
      </c>
      <c r="F208">
        <v>814</v>
      </c>
      <c r="G208" s="1">
        <v>942906.54</v>
      </c>
    </row>
    <row r="209" spans="1:7" x14ac:dyDescent="0.25">
      <c r="A209" s="2">
        <v>42965</v>
      </c>
      <c r="B209" s="2">
        <v>42965</v>
      </c>
      <c r="C209" t="str">
        <f>"BMLM5683601"</f>
        <v>BMLM5683601</v>
      </c>
      <c r="D209" t="s">
        <v>36</v>
      </c>
      <c r="F209">
        <v>420</v>
      </c>
      <c r="G209" s="1">
        <v>943326.54</v>
      </c>
    </row>
    <row r="210" spans="1:7" x14ac:dyDescent="0.25">
      <c r="A210" s="2">
        <v>42965</v>
      </c>
      <c r="B210" s="2">
        <v>42965</v>
      </c>
      <c r="C210" t="str">
        <f>"2SYH8EGPO66DPDL"</f>
        <v>2SYH8EGPO66DPDL</v>
      </c>
      <c r="D210" t="s">
        <v>483</v>
      </c>
      <c r="F210" s="1">
        <v>18265</v>
      </c>
      <c r="G210" s="1">
        <v>961591.54</v>
      </c>
    </row>
    <row r="211" spans="1:7" x14ac:dyDescent="0.25">
      <c r="A211" s="2">
        <v>42965</v>
      </c>
      <c r="B211" s="2">
        <v>42976</v>
      </c>
      <c r="C211" t="str">
        <f>"BMLM5682601"</f>
        <v>BMLM5682601</v>
      </c>
      <c r="D211" t="s">
        <v>484</v>
      </c>
      <c r="F211" s="1">
        <v>6000</v>
      </c>
      <c r="G211" s="1">
        <v>2405692.4900000002</v>
      </c>
    </row>
    <row r="212" spans="1:7" x14ac:dyDescent="0.25">
      <c r="A212" s="2">
        <v>42965</v>
      </c>
      <c r="B212" s="2">
        <v>42976</v>
      </c>
      <c r="C212" t="str">
        <f>"BMLM5682701"</f>
        <v>BMLM5682701</v>
      </c>
      <c r="D212" t="s">
        <v>485</v>
      </c>
      <c r="F212" s="1">
        <v>7559</v>
      </c>
      <c r="G212" s="1">
        <v>2405692.4900000002</v>
      </c>
    </row>
    <row r="213" spans="1:7" x14ac:dyDescent="0.25">
      <c r="A213" s="2">
        <v>42968</v>
      </c>
      <c r="B213" s="2">
        <v>42968</v>
      </c>
      <c r="C213" t="str">
        <f>"BBJK8341501"</f>
        <v>BBJK8341501</v>
      </c>
      <c r="D213" t="s">
        <v>486</v>
      </c>
      <c r="F213" s="1">
        <v>2849</v>
      </c>
      <c r="G213" s="1">
        <v>964440.54</v>
      </c>
    </row>
    <row r="214" spans="1:7" x14ac:dyDescent="0.25">
      <c r="A214" s="2">
        <v>42968</v>
      </c>
      <c r="B214" s="2">
        <v>42968</v>
      </c>
      <c r="C214" t="str">
        <f t="shared" ref="C214:C223" si="1">"FR4WW0O0GJWW7AR"</f>
        <v>FR4WW0O0GJWW7AR</v>
      </c>
      <c r="D214" t="s">
        <v>487</v>
      </c>
      <c r="F214">
        <v>291</v>
      </c>
      <c r="G214" s="1">
        <v>964731.54</v>
      </c>
    </row>
    <row r="215" spans="1:7" x14ac:dyDescent="0.25">
      <c r="A215" s="2">
        <v>42968</v>
      </c>
      <c r="B215" s="2">
        <v>42968</v>
      </c>
      <c r="C215" t="str">
        <f t="shared" si="1"/>
        <v>FR4WW0O0GJWW7AR</v>
      </c>
      <c r="D215" t="s">
        <v>488</v>
      </c>
      <c r="F215" s="1">
        <v>1020</v>
      </c>
      <c r="G215" s="1">
        <v>965751.54</v>
      </c>
    </row>
    <row r="216" spans="1:7" x14ac:dyDescent="0.25">
      <c r="A216" s="2">
        <v>42968</v>
      </c>
      <c r="B216" s="2">
        <v>42968</v>
      </c>
      <c r="C216" t="str">
        <f t="shared" si="1"/>
        <v>FR4WW0O0GJWW7AR</v>
      </c>
      <c r="D216" t="s">
        <v>489</v>
      </c>
      <c r="F216" s="1">
        <v>1320</v>
      </c>
      <c r="G216" s="1">
        <v>967071.54</v>
      </c>
    </row>
    <row r="217" spans="1:7" x14ac:dyDescent="0.25">
      <c r="A217" s="2">
        <v>42968</v>
      </c>
      <c r="B217" s="2">
        <v>42968</v>
      </c>
      <c r="C217" t="str">
        <f t="shared" si="1"/>
        <v>FR4WW0O0GJWW7AR</v>
      </c>
      <c r="D217" t="s">
        <v>490</v>
      </c>
      <c r="F217" s="1">
        <v>1736</v>
      </c>
      <c r="G217" s="1">
        <v>968807.54</v>
      </c>
    </row>
    <row r="218" spans="1:7" x14ac:dyDescent="0.25">
      <c r="A218" s="2">
        <v>42968</v>
      </c>
      <c r="B218" s="2">
        <v>42968</v>
      </c>
      <c r="C218" t="str">
        <f t="shared" si="1"/>
        <v>FR4WW0O0GJWW7AR</v>
      </c>
      <c r="D218" t="s">
        <v>491</v>
      </c>
      <c r="F218" s="1">
        <v>5275</v>
      </c>
      <c r="G218" s="1">
        <v>974082.54</v>
      </c>
    </row>
    <row r="219" spans="1:7" x14ac:dyDescent="0.25">
      <c r="A219" s="2">
        <v>42968</v>
      </c>
      <c r="B219" s="2">
        <v>42968</v>
      </c>
      <c r="C219" t="str">
        <f t="shared" si="1"/>
        <v>FR4WW0O0GJWW7AR</v>
      </c>
      <c r="D219" t="s">
        <v>492</v>
      </c>
      <c r="F219" s="1">
        <v>7085</v>
      </c>
      <c r="G219" s="1">
        <v>981167.54</v>
      </c>
    </row>
    <row r="220" spans="1:7" x14ac:dyDescent="0.25">
      <c r="A220" s="2">
        <v>42968</v>
      </c>
      <c r="B220" s="2">
        <v>42968</v>
      </c>
      <c r="C220" t="str">
        <f t="shared" si="1"/>
        <v>FR4WW0O0GJWW7AR</v>
      </c>
      <c r="D220" t="s">
        <v>493</v>
      </c>
      <c r="F220" s="1">
        <v>7503</v>
      </c>
      <c r="G220" s="1">
        <v>988670.54</v>
      </c>
    </row>
    <row r="221" spans="1:7" x14ac:dyDescent="0.25">
      <c r="A221" s="2">
        <v>42968</v>
      </c>
      <c r="B221" s="2">
        <v>42968</v>
      </c>
      <c r="C221" t="str">
        <f t="shared" si="1"/>
        <v>FR4WW0O0GJWW7AR</v>
      </c>
      <c r="D221" t="s">
        <v>494</v>
      </c>
      <c r="F221" s="1">
        <v>9158</v>
      </c>
      <c r="G221" s="1">
        <v>997828.54</v>
      </c>
    </row>
    <row r="222" spans="1:7" x14ac:dyDescent="0.25">
      <c r="A222" s="2">
        <v>42968</v>
      </c>
      <c r="B222" s="2">
        <v>42968</v>
      </c>
      <c r="C222" t="str">
        <f t="shared" si="1"/>
        <v>FR4WW0O0GJWW7AR</v>
      </c>
      <c r="D222" t="s">
        <v>495</v>
      </c>
      <c r="F222" s="1">
        <v>20839</v>
      </c>
      <c r="G222" s="1">
        <v>1018667.54</v>
      </c>
    </row>
    <row r="223" spans="1:7" x14ac:dyDescent="0.25">
      <c r="A223" s="2">
        <v>42968</v>
      </c>
      <c r="B223" s="2">
        <v>42968</v>
      </c>
      <c r="C223" t="str">
        <f t="shared" si="1"/>
        <v>FR4WW0O0GJWW7AR</v>
      </c>
      <c r="D223" t="s">
        <v>496</v>
      </c>
      <c r="F223" s="1">
        <v>29578</v>
      </c>
      <c r="G223" s="1">
        <v>1048245.54</v>
      </c>
    </row>
    <row r="224" spans="1:7" x14ac:dyDescent="0.25">
      <c r="A224" s="2">
        <v>42968</v>
      </c>
      <c r="B224" s="2">
        <v>42968</v>
      </c>
      <c r="C224" t="str">
        <f>"YLICV2A8P1HANWM"</f>
        <v>YLICV2A8P1HANWM</v>
      </c>
      <c r="D224" t="s">
        <v>497</v>
      </c>
      <c r="F224" s="1">
        <v>1490</v>
      </c>
      <c r="G224" s="1">
        <v>1049735.54</v>
      </c>
    </row>
    <row r="225" spans="1:7" x14ac:dyDescent="0.25">
      <c r="A225" s="2">
        <v>42968</v>
      </c>
      <c r="B225" s="2">
        <v>42968</v>
      </c>
      <c r="C225" t="str">
        <f>"9AOQYPN9BOIIPDP"</f>
        <v>9AOQYPN9BOIIPDP</v>
      </c>
      <c r="D225" t="s">
        <v>498</v>
      </c>
      <c r="F225">
        <v>307</v>
      </c>
      <c r="G225" s="1">
        <v>1050042.54</v>
      </c>
    </row>
    <row r="226" spans="1:7" x14ac:dyDescent="0.25">
      <c r="A226" s="2">
        <v>42968</v>
      </c>
      <c r="B226" s="2">
        <v>42968</v>
      </c>
      <c r="C226" t="str">
        <f>"9AOQYPN9BOIIPDP"</f>
        <v>9AOQYPN9BOIIPDP</v>
      </c>
      <c r="D226" t="s">
        <v>499</v>
      </c>
      <c r="F226" s="1">
        <v>7630</v>
      </c>
      <c r="G226" s="1">
        <v>1057672.54</v>
      </c>
    </row>
    <row r="227" spans="1:7" x14ac:dyDescent="0.25">
      <c r="A227" s="2">
        <v>42968</v>
      </c>
      <c r="B227" s="2">
        <v>42968</v>
      </c>
      <c r="C227" t="str">
        <f>"9AOQYPN9BOIIPDP"</f>
        <v>9AOQYPN9BOIIPDP</v>
      </c>
      <c r="D227" t="s">
        <v>500</v>
      </c>
      <c r="F227" s="1">
        <v>10342</v>
      </c>
      <c r="G227" s="1">
        <v>1068014.54</v>
      </c>
    </row>
    <row r="228" spans="1:7" x14ac:dyDescent="0.25">
      <c r="A228" s="2">
        <v>42968</v>
      </c>
      <c r="B228" s="2">
        <v>42968</v>
      </c>
      <c r="C228" t="str">
        <f>"UJILYZSB4Y26BYL"</f>
        <v>UJILYZSB4Y26BYL</v>
      </c>
      <c r="D228" t="s">
        <v>501</v>
      </c>
      <c r="E228">
        <v>10</v>
      </c>
      <c r="G228" s="1">
        <v>1068004.54</v>
      </c>
    </row>
    <row r="229" spans="1:7" x14ac:dyDescent="0.25">
      <c r="A229" s="2">
        <v>42968</v>
      </c>
      <c r="B229" s="2">
        <v>42968</v>
      </c>
      <c r="C229" t="str">
        <f>"UJILYZSB4Y26BYL"</f>
        <v>UJILYZSB4Y26BYL</v>
      </c>
      <c r="D229" t="s">
        <v>502</v>
      </c>
      <c r="E229">
        <v>10</v>
      </c>
      <c r="G229" s="1">
        <v>1067994.54</v>
      </c>
    </row>
    <row r="230" spans="1:7" x14ac:dyDescent="0.25">
      <c r="A230" s="2">
        <v>42968</v>
      </c>
      <c r="B230" s="2">
        <v>42968</v>
      </c>
      <c r="C230" t="str">
        <f>"UJILYZSB4Y26BYL"</f>
        <v>UJILYZSB4Y26BYL</v>
      </c>
      <c r="D230" t="s">
        <v>503</v>
      </c>
      <c r="E230">
        <v>4</v>
      </c>
      <c r="G230" s="1">
        <v>1067990.54</v>
      </c>
    </row>
    <row r="231" spans="1:7" x14ac:dyDescent="0.25">
      <c r="A231" s="2">
        <v>42968</v>
      </c>
      <c r="B231" s="2">
        <v>42968</v>
      </c>
      <c r="C231" t="str">
        <f>"EEWG0216001"</f>
        <v>EEWG0216001</v>
      </c>
      <c r="D231" t="s">
        <v>504</v>
      </c>
      <c r="F231">
        <v>189</v>
      </c>
      <c r="G231" s="1">
        <v>1068179.54</v>
      </c>
    </row>
    <row r="232" spans="1:7" x14ac:dyDescent="0.25">
      <c r="A232" s="2">
        <v>42968</v>
      </c>
      <c r="B232" s="2">
        <v>42968</v>
      </c>
      <c r="C232" t="str">
        <f>"EEWG0216101"</f>
        <v>EEWG0216101</v>
      </c>
      <c r="D232" t="s">
        <v>504</v>
      </c>
      <c r="F232">
        <v>20</v>
      </c>
      <c r="G232" s="1">
        <v>1068199.54</v>
      </c>
    </row>
    <row r="233" spans="1:7" x14ac:dyDescent="0.25">
      <c r="A233" s="2">
        <v>42968</v>
      </c>
      <c r="B233" s="2">
        <v>42968</v>
      </c>
      <c r="C233" t="str">
        <f>"BMLM5692301"</f>
        <v>BMLM5692301</v>
      </c>
      <c r="D233" t="s">
        <v>36</v>
      </c>
      <c r="F233" s="1">
        <v>4524</v>
      </c>
      <c r="G233" s="1">
        <v>1072723.54</v>
      </c>
    </row>
    <row r="234" spans="1:7" x14ac:dyDescent="0.25">
      <c r="A234" s="2">
        <v>42968</v>
      </c>
      <c r="B234" s="2">
        <v>42968</v>
      </c>
      <c r="C234" t="str">
        <f>"GHEK114YCNNPTIL"</f>
        <v>GHEK114YCNNPTIL</v>
      </c>
      <c r="D234" t="s">
        <v>505</v>
      </c>
      <c r="F234">
        <v>93.1</v>
      </c>
      <c r="G234" s="1">
        <v>1072816.6399999999</v>
      </c>
    </row>
    <row r="235" spans="1:7" x14ac:dyDescent="0.25">
      <c r="A235" s="2">
        <v>42968</v>
      </c>
      <c r="B235" s="2">
        <v>42968</v>
      </c>
      <c r="C235" t="str">
        <f>"GHEK114YCNNPTIL"</f>
        <v>GHEK114YCNNPTIL</v>
      </c>
      <c r="D235" t="s">
        <v>506</v>
      </c>
      <c r="F235" s="1">
        <v>9080</v>
      </c>
      <c r="G235" s="1">
        <v>1081896.6399999999</v>
      </c>
    </row>
    <row r="236" spans="1:7" x14ac:dyDescent="0.25">
      <c r="A236" s="2">
        <v>42968</v>
      </c>
      <c r="B236" s="2">
        <v>42968</v>
      </c>
      <c r="C236" t="str">
        <f>"OUTGOING RTGS SW09921081748592PRI-000000"</f>
        <v>OUTGOING RTGS SW09921081748592PRI-000000</v>
      </c>
      <c r="D236" t="s">
        <v>507</v>
      </c>
      <c r="E236">
        <v>120</v>
      </c>
      <c r="G236" s="1">
        <v>1081776.6399999999</v>
      </c>
    </row>
    <row r="237" spans="1:7" x14ac:dyDescent="0.25">
      <c r="A237" s="2">
        <v>42968</v>
      </c>
      <c r="B237" s="2">
        <v>42968</v>
      </c>
      <c r="C237" t="str">
        <f>"00226292"</f>
        <v>00226292</v>
      </c>
      <c r="D237" t="s">
        <v>19</v>
      </c>
      <c r="E237">
        <v>14.53</v>
      </c>
      <c r="G237" s="1">
        <v>1081762.1100000001</v>
      </c>
    </row>
    <row r="238" spans="1:7" x14ac:dyDescent="0.25">
      <c r="A238" s="2">
        <v>42968</v>
      </c>
      <c r="B238" s="2">
        <v>42968</v>
      </c>
      <c r="C238" t="str">
        <f>"00572233"</f>
        <v>00572233</v>
      </c>
      <c r="D238" t="s">
        <v>20</v>
      </c>
      <c r="E238">
        <v>1.45</v>
      </c>
      <c r="G238" s="1">
        <v>1081760.6599999999</v>
      </c>
    </row>
    <row r="239" spans="1:7" x14ac:dyDescent="0.25">
      <c r="A239" s="2">
        <v>42969</v>
      </c>
      <c r="B239" s="2">
        <v>42969</v>
      </c>
      <c r="C239" t="str">
        <f>"9908222017TBMA000"</f>
        <v>9908222017TBMA000</v>
      </c>
      <c r="D239" t="s">
        <v>508</v>
      </c>
      <c r="E239">
        <v>1</v>
      </c>
      <c r="G239" s="1">
        <v>1081759.6599999999</v>
      </c>
    </row>
    <row r="240" spans="1:7" x14ac:dyDescent="0.25">
      <c r="A240" s="2">
        <v>42969</v>
      </c>
      <c r="B240" s="2">
        <v>42969</v>
      </c>
      <c r="C240" t="str">
        <f>"9908222017TBMA000"</f>
        <v>9908222017TBMA000</v>
      </c>
      <c r="D240" t="s">
        <v>509</v>
      </c>
      <c r="E240">
        <v>1</v>
      </c>
      <c r="G240" s="1">
        <v>1081758.6599999999</v>
      </c>
    </row>
    <row r="241" spans="1:7" x14ac:dyDescent="0.25">
      <c r="A241" s="2">
        <v>42969</v>
      </c>
      <c r="B241" s="2">
        <v>42969</v>
      </c>
      <c r="C241" t="str">
        <f>"9908222017TBMA000"</f>
        <v>9908222017TBMA000</v>
      </c>
      <c r="D241" t="s">
        <v>510</v>
      </c>
      <c r="E241">
        <v>0.4</v>
      </c>
      <c r="G241" s="1">
        <v>1081758.26</v>
      </c>
    </row>
    <row r="242" spans="1:7" x14ac:dyDescent="0.25">
      <c r="A242" s="2">
        <v>42969</v>
      </c>
      <c r="B242" s="2">
        <v>42969</v>
      </c>
      <c r="C242" t="str">
        <f>"20170822095423675"</f>
        <v>20170822095423675</v>
      </c>
      <c r="D242" t="s">
        <v>511</v>
      </c>
      <c r="E242" s="1">
        <v>1200</v>
      </c>
      <c r="G242" s="1">
        <v>1080558.26</v>
      </c>
    </row>
    <row r="243" spans="1:7" x14ac:dyDescent="0.25">
      <c r="A243" s="2">
        <v>42969</v>
      </c>
      <c r="B243" s="2">
        <v>42969</v>
      </c>
      <c r="C243" t="str">
        <f>"LCSXE3876R3SJUJZ"</f>
        <v>LCSXE3876R3SJUJZ</v>
      </c>
      <c r="D243" t="s">
        <v>512</v>
      </c>
      <c r="F243">
        <v>20</v>
      </c>
      <c r="G243" s="1">
        <v>1080578.26</v>
      </c>
    </row>
    <row r="244" spans="1:7" x14ac:dyDescent="0.25">
      <c r="A244" s="2">
        <v>42969</v>
      </c>
      <c r="B244" s="2">
        <v>42969</v>
      </c>
      <c r="C244" t="str">
        <f>"LCSXE3876R3SJUJZ"</f>
        <v>LCSXE3876R3SJUJZ</v>
      </c>
      <c r="D244" t="s">
        <v>513</v>
      </c>
      <c r="F244" s="1">
        <v>2435</v>
      </c>
      <c r="G244" s="1">
        <v>1083013.26</v>
      </c>
    </row>
    <row r="245" spans="1:7" x14ac:dyDescent="0.25">
      <c r="A245" s="2">
        <v>42969</v>
      </c>
      <c r="B245" s="2">
        <v>42969</v>
      </c>
      <c r="C245" t="str">
        <f>"9908222017TBMA008"</f>
        <v>9908222017TBMA008</v>
      </c>
      <c r="D245" t="s">
        <v>514</v>
      </c>
      <c r="F245" s="1">
        <v>4381.5200000000004</v>
      </c>
      <c r="G245" s="1">
        <v>1087394.78</v>
      </c>
    </row>
    <row r="246" spans="1:7" x14ac:dyDescent="0.25">
      <c r="A246" s="2">
        <v>42969</v>
      </c>
      <c r="B246" s="2">
        <v>42969</v>
      </c>
      <c r="C246" t="str">
        <f>"9908222017TBMA008"</f>
        <v>9908222017TBMA008</v>
      </c>
      <c r="D246" t="s">
        <v>514</v>
      </c>
      <c r="E246">
        <v>10</v>
      </c>
      <c r="G246" s="1">
        <v>1087384.78</v>
      </c>
    </row>
    <row r="247" spans="1:7" x14ac:dyDescent="0.25">
      <c r="A247" s="2">
        <v>42969</v>
      </c>
      <c r="B247" s="2">
        <v>42969</v>
      </c>
      <c r="C247" t="str">
        <f>"9908222017TBMA008"</f>
        <v>9908222017TBMA008</v>
      </c>
      <c r="D247" t="s">
        <v>515</v>
      </c>
      <c r="E247">
        <v>1</v>
      </c>
      <c r="G247" s="1">
        <v>1087383.78</v>
      </c>
    </row>
    <row r="248" spans="1:7" x14ac:dyDescent="0.25">
      <c r="A248" s="2">
        <v>42969</v>
      </c>
      <c r="B248" s="2">
        <v>42969</v>
      </c>
      <c r="C248" t="str">
        <f>"5FRM0BZP0VJ6QDL"</f>
        <v>5FRM0BZP0VJ6QDL</v>
      </c>
      <c r="D248" t="s">
        <v>516</v>
      </c>
      <c r="F248" s="1">
        <v>19331.41</v>
      </c>
      <c r="G248" s="1">
        <v>1106715.19</v>
      </c>
    </row>
    <row r="249" spans="1:7" x14ac:dyDescent="0.25">
      <c r="A249" s="2">
        <v>42969</v>
      </c>
      <c r="B249" s="2">
        <v>42969</v>
      </c>
      <c r="C249" t="str">
        <f>"BMLM5701601"</f>
        <v>BMLM5701601</v>
      </c>
      <c r="D249" t="s">
        <v>36</v>
      </c>
      <c r="F249" s="1">
        <v>1913</v>
      </c>
      <c r="G249" s="1">
        <v>1120373.19</v>
      </c>
    </row>
    <row r="250" spans="1:7" x14ac:dyDescent="0.25">
      <c r="A250" s="2">
        <v>42969</v>
      </c>
      <c r="B250" s="2">
        <v>42969</v>
      </c>
      <c r="C250" t="str">
        <f>"BMLM5702201"</f>
        <v>BMLM5702201</v>
      </c>
      <c r="D250" t="s">
        <v>36</v>
      </c>
      <c r="F250">
        <v>239</v>
      </c>
      <c r="G250" s="1">
        <v>1120612.19</v>
      </c>
    </row>
    <row r="251" spans="1:7" x14ac:dyDescent="0.25">
      <c r="A251" s="2">
        <v>42969</v>
      </c>
      <c r="B251" s="2">
        <v>42969</v>
      </c>
      <c r="C251" t="str">
        <f>"BMLM5702401"</f>
        <v>BMLM5702401</v>
      </c>
      <c r="D251" t="s">
        <v>36</v>
      </c>
      <c r="F251">
        <v>372</v>
      </c>
      <c r="G251" s="1">
        <v>1120984.19</v>
      </c>
    </row>
    <row r="252" spans="1:7" x14ac:dyDescent="0.25">
      <c r="A252" s="2">
        <v>42969</v>
      </c>
      <c r="B252" s="2">
        <v>42969</v>
      </c>
      <c r="C252" t="str">
        <f>"BMLM5702501"</f>
        <v>BMLM5702501</v>
      </c>
      <c r="D252" t="s">
        <v>36</v>
      </c>
      <c r="F252">
        <v>124</v>
      </c>
      <c r="G252" s="1">
        <v>1121108.19</v>
      </c>
    </row>
    <row r="253" spans="1:7" x14ac:dyDescent="0.25">
      <c r="A253" s="2">
        <v>42969</v>
      </c>
      <c r="B253" s="2">
        <v>42969</v>
      </c>
      <c r="C253" t="str">
        <f>"BMLM5702601"</f>
        <v>BMLM5702601</v>
      </c>
      <c r="D253" t="s">
        <v>36</v>
      </c>
      <c r="F253">
        <v>104</v>
      </c>
      <c r="G253" s="1">
        <v>1121212.19</v>
      </c>
    </row>
    <row r="254" spans="1:7" x14ac:dyDescent="0.25">
      <c r="A254" s="2">
        <v>42969</v>
      </c>
      <c r="B254" s="2">
        <v>42969</v>
      </c>
      <c r="C254" t="str">
        <f>"BMLM5702701"</f>
        <v>BMLM5702701</v>
      </c>
      <c r="D254" t="s">
        <v>36</v>
      </c>
      <c r="F254" s="1">
        <v>2137</v>
      </c>
      <c r="G254" s="1">
        <v>1123349.19</v>
      </c>
    </row>
    <row r="255" spans="1:7" x14ac:dyDescent="0.25">
      <c r="A255" s="2">
        <v>42969</v>
      </c>
      <c r="B255" s="2">
        <v>42969</v>
      </c>
      <c r="C255" t="str">
        <f t="shared" ref="C255:C276" si="2">"BET8RN0MKUZQ1IT"</f>
        <v>BET8RN0MKUZQ1IT</v>
      </c>
      <c r="D255" t="s">
        <v>517</v>
      </c>
      <c r="F255">
        <v>38</v>
      </c>
      <c r="G255" s="1">
        <v>1123387.19</v>
      </c>
    </row>
    <row r="256" spans="1:7" x14ac:dyDescent="0.25">
      <c r="A256" s="2">
        <v>42969</v>
      </c>
      <c r="B256" s="2">
        <v>42969</v>
      </c>
      <c r="C256" t="str">
        <f t="shared" si="2"/>
        <v>BET8RN0MKUZQ1IT</v>
      </c>
      <c r="D256" t="s">
        <v>518</v>
      </c>
      <c r="F256">
        <v>90</v>
      </c>
      <c r="G256" s="1">
        <v>1123477.19</v>
      </c>
    </row>
    <row r="257" spans="1:7" x14ac:dyDescent="0.25">
      <c r="A257" s="2">
        <v>42969</v>
      </c>
      <c r="B257" s="2">
        <v>42969</v>
      </c>
      <c r="C257" t="str">
        <f t="shared" si="2"/>
        <v>BET8RN0MKUZQ1IT</v>
      </c>
      <c r="D257" t="s">
        <v>519</v>
      </c>
      <c r="F257">
        <v>135</v>
      </c>
      <c r="G257" s="1">
        <v>1123612.19</v>
      </c>
    </row>
    <row r="258" spans="1:7" x14ac:dyDescent="0.25">
      <c r="A258" s="2">
        <v>42969</v>
      </c>
      <c r="B258" s="2">
        <v>42969</v>
      </c>
      <c r="C258" t="str">
        <f t="shared" si="2"/>
        <v>BET8RN0MKUZQ1IT</v>
      </c>
      <c r="D258" t="s">
        <v>520</v>
      </c>
      <c r="F258">
        <v>195</v>
      </c>
      <c r="G258" s="1">
        <v>1123807.19</v>
      </c>
    </row>
    <row r="259" spans="1:7" x14ac:dyDescent="0.25">
      <c r="A259" s="2">
        <v>42969</v>
      </c>
      <c r="B259" s="2">
        <v>42969</v>
      </c>
      <c r="C259" t="str">
        <f t="shared" si="2"/>
        <v>BET8RN0MKUZQ1IT</v>
      </c>
      <c r="D259" t="s">
        <v>521</v>
      </c>
      <c r="F259">
        <v>195</v>
      </c>
      <c r="G259" s="1">
        <v>1124002.19</v>
      </c>
    </row>
    <row r="260" spans="1:7" x14ac:dyDescent="0.25">
      <c r="A260" s="2">
        <v>42969</v>
      </c>
      <c r="B260" s="2">
        <v>42969</v>
      </c>
      <c r="C260" t="str">
        <f t="shared" si="2"/>
        <v>BET8RN0MKUZQ1IT</v>
      </c>
      <c r="D260" t="s">
        <v>522</v>
      </c>
      <c r="F260">
        <v>285</v>
      </c>
      <c r="G260" s="1">
        <v>1124287.19</v>
      </c>
    </row>
    <row r="261" spans="1:7" x14ac:dyDescent="0.25">
      <c r="A261" s="2">
        <v>42969</v>
      </c>
      <c r="B261" s="2">
        <v>42969</v>
      </c>
      <c r="C261" t="str">
        <f t="shared" si="2"/>
        <v>BET8RN0MKUZQ1IT</v>
      </c>
      <c r="D261" t="s">
        <v>523</v>
      </c>
      <c r="F261">
        <v>385</v>
      </c>
      <c r="G261" s="1">
        <v>1124672.19</v>
      </c>
    </row>
    <row r="262" spans="1:7" x14ac:dyDescent="0.25">
      <c r="A262" s="2">
        <v>42969</v>
      </c>
      <c r="B262" s="2">
        <v>42969</v>
      </c>
      <c r="C262" t="str">
        <f t="shared" si="2"/>
        <v>BET8RN0MKUZQ1IT</v>
      </c>
      <c r="D262" t="s">
        <v>524</v>
      </c>
      <c r="F262">
        <v>396</v>
      </c>
      <c r="G262" s="1">
        <v>1125068.19</v>
      </c>
    </row>
    <row r="263" spans="1:7" x14ac:dyDescent="0.25">
      <c r="A263" s="2">
        <v>42969</v>
      </c>
      <c r="B263" s="2">
        <v>42969</v>
      </c>
      <c r="C263" t="str">
        <f t="shared" si="2"/>
        <v>BET8RN0MKUZQ1IT</v>
      </c>
      <c r="D263" t="s">
        <v>525</v>
      </c>
      <c r="F263">
        <v>485</v>
      </c>
      <c r="G263" s="1">
        <v>1125553.19</v>
      </c>
    </row>
    <row r="264" spans="1:7" x14ac:dyDescent="0.25">
      <c r="A264" s="2">
        <v>42969</v>
      </c>
      <c r="B264" s="2">
        <v>42969</v>
      </c>
      <c r="C264" t="str">
        <f t="shared" si="2"/>
        <v>BET8RN0MKUZQ1IT</v>
      </c>
      <c r="D264" t="s">
        <v>526</v>
      </c>
      <c r="F264">
        <v>530</v>
      </c>
      <c r="G264" s="1">
        <v>1126083.19</v>
      </c>
    </row>
    <row r="265" spans="1:7" x14ac:dyDescent="0.25">
      <c r="A265" s="2">
        <v>42969</v>
      </c>
      <c r="B265" s="2">
        <v>42969</v>
      </c>
      <c r="C265" t="str">
        <f t="shared" si="2"/>
        <v>BET8RN0MKUZQ1IT</v>
      </c>
      <c r="D265" t="s">
        <v>527</v>
      </c>
      <c r="F265">
        <v>585</v>
      </c>
      <c r="G265" s="1">
        <v>1126668.19</v>
      </c>
    </row>
    <row r="266" spans="1:7" x14ac:dyDescent="0.25">
      <c r="A266" s="2">
        <v>42969</v>
      </c>
      <c r="B266" s="2">
        <v>42969</v>
      </c>
      <c r="C266" t="str">
        <f t="shared" si="2"/>
        <v>BET8RN0MKUZQ1IT</v>
      </c>
      <c r="D266" t="s">
        <v>528</v>
      </c>
      <c r="F266">
        <v>715</v>
      </c>
      <c r="G266" s="1">
        <v>1127383.19</v>
      </c>
    </row>
    <row r="267" spans="1:7" x14ac:dyDescent="0.25">
      <c r="A267" s="2">
        <v>42969</v>
      </c>
      <c r="B267" s="2">
        <v>42969</v>
      </c>
      <c r="C267" t="str">
        <f t="shared" si="2"/>
        <v>BET8RN0MKUZQ1IT</v>
      </c>
      <c r="D267" t="s">
        <v>529</v>
      </c>
      <c r="F267">
        <v>800</v>
      </c>
      <c r="G267" s="1">
        <v>1128183.19</v>
      </c>
    </row>
    <row r="268" spans="1:7" x14ac:dyDescent="0.25">
      <c r="A268" s="2">
        <v>42969</v>
      </c>
      <c r="B268" s="2">
        <v>42969</v>
      </c>
      <c r="C268" t="str">
        <f t="shared" si="2"/>
        <v>BET8RN0MKUZQ1IT</v>
      </c>
      <c r="D268" t="s">
        <v>530</v>
      </c>
      <c r="F268">
        <v>815</v>
      </c>
      <c r="G268" s="1">
        <v>1128998.19</v>
      </c>
    </row>
    <row r="269" spans="1:7" x14ac:dyDescent="0.25">
      <c r="A269" s="2">
        <v>42969</v>
      </c>
      <c r="B269" s="2">
        <v>42969</v>
      </c>
      <c r="C269" t="str">
        <f t="shared" si="2"/>
        <v>BET8RN0MKUZQ1IT</v>
      </c>
      <c r="D269" t="s">
        <v>531</v>
      </c>
      <c r="F269">
        <v>825</v>
      </c>
      <c r="G269" s="1">
        <v>1129823.19</v>
      </c>
    </row>
    <row r="270" spans="1:7" x14ac:dyDescent="0.25">
      <c r="A270" s="2">
        <v>42969</v>
      </c>
      <c r="B270" s="2">
        <v>42969</v>
      </c>
      <c r="C270" t="str">
        <f t="shared" si="2"/>
        <v>BET8RN0MKUZQ1IT</v>
      </c>
      <c r="D270" t="s">
        <v>532</v>
      </c>
      <c r="F270">
        <v>935</v>
      </c>
      <c r="G270" s="1">
        <v>1130758.19</v>
      </c>
    </row>
    <row r="271" spans="1:7" x14ac:dyDescent="0.25">
      <c r="A271" s="2">
        <v>42969</v>
      </c>
      <c r="B271" s="2">
        <v>42969</v>
      </c>
      <c r="C271" t="str">
        <f t="shared" si="2"/>
        <v>BET8RN0MKUZQ1IT</v>
      </c>
      <c r="D271" t="s">
        <v>533</v>
      </c>
      <c r="F271" s="1">
        <v>1005</v>
      </c>
      <c r="G271" s="1">
        <v>1131763.19</v>
      </c>
    </row>
    <row r="272" spans="1:7" x14ac:dyDescent="0.25">
      <c r="A272" s="2">
        <v>42969</v>
      </c>
      <c r="B272" s="2">
        <v>42969</v>
      </c>
      <c r="C272" t="str">
        <f t="shared" si="2"/>
        <v>BET8RN0MKUZQ1IT</v>
      </c>
      <c r="D272" t="s">
        <v>534</v>
      </c>
      <c r="F272" s="1">
        <v>1030</v>
      </c>
      <c r="G272" s="1">
        <v>1132793.19</v>
      </c>
    </row>
    <row r="273" spans="1:7" x14ac:dyDescent="0.25">
      <c r="A273" s="2">
        <v>42969</v>
      </c>
      <c r="B273" s="2">
        <v>42969</v>
      </c>
      <c r="C273" t="str">
        <f t="shared" si="2"/>
        <v>BET8RN0MKUZQ1IT</v>
      </c>
      <c r="D273" t="s">
        <v>535</v>
      </c>
      <c r="F273" s="1">
        <v>1810</v>
      </c>
      <c r="G273" s="1">
        <v>1134603.19</v>
      </c>
    </row>
    <row r="274" spans="1:7" x14ac:dyDescent="0.25">
      <c r="A274" s="2">
        <v>42969</v>
      </c>
      <c r="B274" s="2">
        <v>42969</v>
      </c>
      <c r="C274" t="str">
        <f t="shared" si="2"/>
        <v>BET8RN0MKUZQ1IT</v>
      </c>
      <c r="D274" t="s">
        <v>536</v>
      </c>
      <c r="F274" s="1">
        <v>3700</v>
      </c>
      <c r="G274" s="1">
        <v>1138303.19</v>
      </c>
    </row>
    <row r="275" spans="1:7" x14ac:dyDescent="0.25">
      <c r="A275" s="2">
        <v>42969</v>
      </c>
      <c r="B275" s="2">
        <v>42969</v>
      </c>
      <c r="C275" t="str">
        <f t="shared" si="2"/>
        <v>BET8RN0MKUZQ1IT</v>
      </c>
      <c r="D275" t="s">
        <v>537</v>
      </c>
      <c r="F275" s="1">
        <v>5121</v>
      </c>
      <c r="G275" s="1">
        <v>1143424.19</v>
      </c>
    </row>
    <row r="276" spans="1:7" x14ac:dyDescent="0.25">
      <c r="A276" s="2">
        <v>42969</v>
      </c>
      <c r="B276" s="2">
        <v>42969</v>
      </c>
      <c r="C276" t="str">
        <f t="shared" si="2"/>
        <v>BET8RN0MKUZQ1IT</v>
      </c>
      <c r="D276" t="s">
        <v>538</v>
      </c>
      <c r="F276" s="1">
        <v>5241</v>
      </c>
      <c r="G276" s="1">
        <v>1148665.19</v>
      </c>
    </row>
    <row r="277" spans="1:7" x14ac:dyDescent="0.25">
      <c r="A277" s="2">
        <v>42969</v>
      </c>
      <c r="B277" s="2">
        <v>42978</v>
      </c>
      <c r="C277" t="str">
        <f>"BMLM5701301"</f>
        <v>BMLM5701301</v>
      </c>
      <c r="D277" t="s">
        <v>539</v>
      </c>
      <c r="F277" s="1">
        <v>9765</v>
      </c>
      <c r="G277" s="1">
        <v>2537284.16</v>
      </c>
    </row>
    <row r="278" spans="1:7" x14ac:dyDescent="0.25">
      <c r="A278" s="2">
        <v>42969</v>
      </c>
      <c r="B278" s="2">
        <v>42978</v>
      </c>
      <c r="C278" t="str">
        <f>"BMLM5701401"</f>
        <v>BMLM5701401</v>
      </c>
      <c r="D278" t="s">
        <v>540</v>
      </c>
      <c r="F278" s="1">
        <v>1980</v>
      </c>
      <c r="G278" s="1">
        <v>2537284.16</v>
      </c>
    </row>
    <row r="279" spans="1:7" x14ac:dyDescent="0.25">
      <c r="A279" s="2">
        <v>42970</v>
      </c>
      <c r="B279" s="2">
        <v>42970</v>
      </c>
      <c r="C279" t="str">
        <f>"F5DRP8ZW4L7J0QJ"</f>
        <v>F5DRP8ZW4L7J0QJ</v>
      </c>
      <c r="D279" t="s">
        <v>541</v>
      </c>
      <c r="F279" s="1">
        <v>6038</v>
      </c>
      <c r="G279" s="1">
        <v>1154703.19</v>
      </c>
    </row>
    <row r="280" spans="1:7" x14ac:dyDescent="0.25">
      <c r="A280" s="2">
        <v>42970</v>
      </c>
      <c r="B280" s="2">
        <v>42970</v>
      </c>
      <c r="C280" t="str">
        <f>"9108232017BBWA000"</f>
        <v>9108232017BBWA000</v>
      </c>
      <c r="D280" t="s">
        <v>542</v>
      </c>
      <c r="E280" s="1">
        <v>2340</v>
      </c>
      <c r="G280" s="1">
        <v>1152363.19</v>
      </c>
    </row>
    <row r="281" spans="1:7" x14ac:dyDescent="0.25">
      <c r="A281" s="2">
        <v>42970</v>
      </c>
      <c r="B281" s="2">
        <v>42970</v>
      </c>
      <c r="C281" t="str">
        <f>"9908232017TBMA014"</f>
        <v>9908232017TBMA014</v>
      </c>
      <c r="D281" t="s">
        <v>543</v>
      </c>
      <c r="F281" s="1">
        <v>18409</v>
      </c>
      <c r="G281" s="1">
        <v>1170772.19</v>
      </c>
    </row>
    <row r="282" spans="1:7" x14ac:dyDescent="0.25">
      <c r="A282" s="2">
        <v>42970</v>
      </c>
      <c r="B282" s="2">
        <v>42970</v>
      </c>
      <c r="C282" t="str">
        <f>"9908232017TBMA014"</f>
        <v>9908232017TBMA014</v>
      </c>
      <c r="D282" t="s">
        <v>543</v>
      </c>
      <c r="E282">
        <v>10</v>
      </c>
      <c r="G282" s="1">
        <v>1170762.19</v>
      </c>
    </row>
    <row r="283" spans="1:7" x14ac:dyDescent="0.25">
      <c r="A283" s="2">
        <v>42970</v>
      </c>
      <c r="B283" s="2">
        <v>42970</v>
      </c>
      <c r="C283" t="str">
        <f>"9908232017TBMA014"</f>
        <v>9908232017TBMA014</v>
      </c>
      <c r="D283" t="s">
        <v>544</v>
      </c>
      <c r="E283">
        <v>1</v>
      </c>
      <c r="G283" s="1">
        <v>1170761.19</v>
      </c>
    </row>
    <row r="284" spans="1:7" x14ac:dyDescent="0.25">
      <c r="A284" s="2">
        <v>42970</v>
      </c>
      <c r="B284" s="2">
        <v>42970</v>
      </c>
      <c r="C284" t="str">
        <f>"VPQH2MWKGJJ85PA"</f>
        <v>VPQH2MWKGJJ85PA</v>
      </c>
      <c r="D284" t="s">
        <v>545</v>
      </c>
      <c r="F284">
        <v>890</v>
      </c>
      <c r="G284" s="1">
        <v>1171651.19</v>
      </c>
    </row>
    <row r="285" spans="1:7" x14ac:dyDescent="0.25">
      <c r="A285" s="2">
        <v>42970</v>
      </c>
      <c r="B285" s="2">
        <v>42970</v>
      </c>
      <c r="C285" t="str">
        <f>"VPQH2MWKGJJ85PA"</f>
        <v>VPQH2MWKGJJ85PA</v>
      </c>
      <c r="D285" t="s">
        <v>546</v>
      </c>
      <c r="F285" s="1">
        <v>2119</v>
      </c>
      <c r="G285" s="1">
        <v>1173770.19</v>
      </c>
    </row>
    <row r="286" spans="1:7" x14ac:dyDescent="0.25">
      <c r="A286" s="2">
        <v>42970</v>
      </c>
      <c r="B286" s="2">
        <v>42970</v>
      </c>
      <c r="C286" t="str">
        <f>"VPQH2MWKGJJ85PA"</f>
        <v>VPQH2MWKGJJ85PA</v>
      </c>
      <c r="D286" t="s">
        <v>547</v>
      </c>
      <c r="F286" s="1">
        <v>37282</v>
      </c>
      <c r="G286" s="1">
        <v>1211052.19</v>
      </c>
    </row>
    <row r="287" spans="1:7" x14ac:dyDescent="0.25">
      <c r="A287" s="2">
        <v>42970</v>
      </c>
      <c r="B287" s="2">
        <v>42970</v>
      </c>
      <c r="C287" t="str">
        <f>"BMLM5714101"</f>
        <v>BMLM5714101</v>
      </c>
      <c r="D287" t="s">
        <v>36</v>
      </c>
      <c r="F287">
        <v>204</v>
      </c>
      <c r="G287" s="1">
        <v>1214515.19</v>
      </c>
    </row>
    <row r="288" spans="1:7" x14ac:dyDescent="0.25">
      <c r="A288" s="2">
        <v>42970</v>
      </c>
      <c r="B288" s="2">
        <v>42970</v>
      </c>
      <c r="C288" t="str">
        <f>"L236ALZEQIM8RUY"</f>
        <v>L236ALZEQIM8RUY</v>
      </c>
      <c r="D288" t="s">
        <v>548</v>
      </c>
      <c r="F288" s="1">
        <v>1752</v>
      </c>
      <c r="G288" s="1">
        <v>1216267.19</v>
      </c>
    </row>
    <row r="289" spans="1:7" x14ac:dyDescent="0.25">
      <c r="A289" s="2">
        <v>42970</v>
      </c>
      <c r="B289" s="2">
        <v>42970</v>
      </c>
      <c r="C289" t="str">
        <f>"L236ALZEQIM8RUY"</f>
        <v>L236ALZEQIM8RUY</v>
      </c>
      <c r="D289" t="s">
        <v>549</v>
      </c>
      <c r="F289" s="1">
        <v>7078</v>
      </c>
      <c r="G289" s="1">
        <v>1223345.19</v>
      </c>
    </row>
    <row r="290" spans="1:7" x14ac:dyDescent="0.25">
      <c r="A290" s="2">
        <v>42970</v>
      </c>
      <c r="B290" s="2">
        <v>42970</v>
      </c>
      <c r="C290" t="str">
        <f>"L236ALZEQIM8RUY"</f>
        <v>L236ALZEQIM8RUY</v>
      </c>
      <c r="D290" t="s">
        <v>550</v>
      </c>
      <c r="F290" s="1">
        <v>245167</v>
      </c>
      <c r="G290" s="1">
        <v>1468512.19</v>
      </c>
    </row>
    <row r="291" spans="1:7" x14ac:dyDescent="0.25">
      <c r="A291" s="2">
        <v>42970</v>
      </c>
      <c r="B291" s="2">
        <v>42970</v>
      </c>
      <c r="C291" t="str">
        <f>"9908232017ENNA003"</f>
        <v>9908232017ENNA003</v>
      </c>
      <c r="D291" t="s">
        <v>551</v>
      </c>
      <c r="F291" s="1">
        <v>5439</v>
      </c>
      <c r="G291" s="1">
        <v>1473951.19</v>
      </c>
    </row>
    <row r="292" spans="1:7" x14ac:dyDescent="0.25">
      <c r="A292" s="2">
        <v>42970</v>
      </c>
      <c r="B292" s="2">
        <v>42979</v>
      </c>
      <c r="C292" t="str">
        <f>"BMLM5713701"</f>
        <v>BMLM5713701</v>
      </c>
      <c r="D292" t="s">
        <v>552</v>
      </c>
      <c r="F292" s="1">
        <v>2868</v>
      </c>
      <c r="G292" s="1">
        <v>1484576.57</v>
      </c>
    </row>
    <row r="293" spans="1:7" x14ac:dyDescent="0.25">
      <c r="A293" s="2">
        <v>42970</v>
      </c>
      <c r="B293" s="2">
        <v>42979</v>
      </c>
      <c r="C293" t="str">
        <f>"BMLM5713801"</f>
        <v>BMLM5713801</v>
      </c>
      <c r="D293" t="s">
        <v>553</v>
      </c>
      <c r="F293">
        <v>391</v>
      </c>
      <c r="G293" s="1">
        <v>1484576.57</v>
      </c>
    </row>
    <row r="294" spans="1:7" x14ac:dyDescent="0.25">
      <c r="A294" s="2">
        <v>42971</v>
      </c>
      <c r="B294" s="2">
        <v>42971</v>
      </c>
      <c r="C294" t="str">
        <f>"20170824092858861"</f>
        <v>20170824092858861</v>
      </c>
      <c r="D294" t="s">
        <v>554</v>
      </c>
      <c r="E294">
        <v>620</v>
      </c>
      <c r="G294" s="1">
        <v>1473331.19</v>
      </c>
    </row>
    <row r="295" spans="1:7" x14ac:dyDescent="0.25">
      <c r="A295" s="2">
        <v>42971</v>
      </c>
      <c r="B295" s="2">
        <v>42971</v>
      </c>
      <c r="C295" t="str">
        <f>"ZG8GXXZCWGQ345H"</f>
        <v>ZG8GXXZCWGQ345H</v>
      </c>
      <c r="D295" t="s">
        <v>555</v>
      </c>
      <c r="E295">
        <v>10</v>
      </c>
      <c r="G295" s="1">
        <v>1473321.19</v>
      </c>
    </row>
    <row r="296" spans="1:7" x14ac:dyDescent="0.25">
      <c r="A296" s="2">
        <v>42971</v>
      </c>
      <c r="B296" s="2">
        <v>42971</v>
      </c>
      <c r="C296" t="str">
        <f>"RE0L6BIICNKX3E7"</f>
        <v>RE0L6BIICNKX3E7</v>
      </c>
      <c r="D296" t="s">
        <v>556</v>
      </c>
      <c r="F296" s="1">
        <v>550000</v>
      </c>
      <c r="G296" s="1">
        <v>2023321.19</v>
      </c>
    </row>
    <row r="297" spans="1:7" x14ac:dyDescent="0.25">
      <c r="A297" s="2">
        <v>42971</v>
      </c>
      <c r="B297" s="2">
        <v>42971</v>
      </c>
      <c r="C297" t="str">
        <f>"8Q94DBEG8VCFTBQ"</f>
        <v>8Q94DBEG8VCFTBQ</v>
      </c>
      <c r="D297" t="s">
        <v>557</v>
      </c>
      <c r="F297" s="1">
        <v>11728</v>
      </c>
      <c r="G297" s="1">
        <v>2035049.19</v>
      </c>
    </row>
    <row r="298" spans="1:7" x14ac:dyDescent="0.25">
      <c r="A298" s="2">
        <v>42971</v>
      </c>
      <c r="B298" s="2">
        <v>42971</v>
      </c>
      <c r="C298" t="str">
        <f>"8Q94DBEG8VCFTBQ"</f>
        <v>8Q94DBEG8VCFTBQ</v>
      </c>
      <c r="D298" t="s">
        <v>558</v>
      </c>
      <c r="F298" s="1">
        <v>11836</v>
      </c>
      <c r="G298" s="1">
        <v>2046885.19</v>
      </c>
    </row>
    <row r="299" spans="1:7" x14ac:dyDescent="0.25">
      <c r="A299" s="2">
        <v>42971</v>
      </c>
      <c r="B299" s="2">
        <v>42971</v>
      </c>
      <c r="C299" t="str">
        <f>"3E29A46PMIGOJKT"</f>
        <v>3E29A46PMIGOJKT</v>
      </c>
      <c r="D299" t="s">
        <v>559</v>
      </c>
      <c r="F299" s="1">
        <v>1525.86</v>
      </c>
      <c r="G299" s="1">
        <v>2048411.05</v>
      </c>
    </row>
    <row r="300" spans="1:7" x14ac:dyDescent="0.25">
      <c r="A300" s="2">
        <v>42971</v>
      </c>
      <c r="B300" s="2">
        <v>42971</v>
      </c>
      <c r="C300" t="str">
        <f>"V9Q68WRAGIZ03RS"</f>
        <v>V9Q68WRAGIZ03RS</v>
      </c>
      <c r="D300" t="s">
        <v>560</v>
      </c>
      <c r="F300">
        <v>273</v>
      </c>
      <c r="G300" s="1">
        <v>2049510.05</v>
      </c>
    </row>
    <row r="301" spans="1:7" x14ac:dyDescent="0.25">
      <c r="A301" s="2">
        <v>42971</v>
      </c>
      <c r="B301" s="2">
        <v>42971</v>
      </c>
      <c r="C301" t="str">
        <f>"V9Q68WRAGIZ03RS"</f>
        <v>V9Q68WRAGIZ03RS</v>
      </c>
      <c r="D301" t="s">
        <v>561</v>
      </c>
      <c r="F301" s="1">
        <v>1131</v>
      </c>
      <c r="G301" s="1">
        <v>2050641.05</v>
      </c>
    </row>
    <row r="302" spans="1:7" x14ac:dyDescent="0.25">
      <c r="A302" s="2">
        <v>42971</v>
      </c>
      <c r="B302" s="2">
        <v>42971</v>
      </c>
      <c r="C302" t="str">
        <f>"V9Q68WRAGIZ03RS"</f>
        <v>V9Q68WRAGIZ03RS</v>
      </c>
      <c r="D302" t="s">
        <v>562</v>
      </c>
      <c r="F302" s="1">
        <v>3458</v>
      </c>
      <c r="G302" s="1">
        <v>2054099.05</v>
      </c>
    </row>
    <row r="303" spans="1:7" x14ac:dyDescent="0.25">
      <c r="A303" s="2">
        <v>42971</v>
      </c>
      <c r="B303" s="2">
        <v>42982</v>
      </c>
      <c r="C303" t="str">
        <f>"BMLM5721201"</f>
        <v>BMLM5721201</v>
      </c>
      <c r="D303" t="s">
        <v>563</v>
      </c>
      <c r="F303">
        <v>826</v>
      </c>
      <c r="G303" s="1">
        <v>1533579.88</v>
      </c>
    </row>
    <row r="304" spans="1:7" x14ac:dyDescent="0.25">
      <c r="A304" s="2">
        <v>42972</v>
      </c>
      <c r="B304" s="2">
        <v>42972</v>
      </c>
      <c r="C304" t="str">
        <f>"BJNW6839201"</f>
        <v>BJNW6839201</v>
      </c>
      <c r="D304" t="s">
        <v>564</v>
      </c>
      <c r="E304" s="1">
        <v>1470</v>
      </c>
      <c r="G304" s="1">
        <v>2052629.05</v>
      </c>
    </row>
    <row r="305" spans="1:7" x14ac:dyDescent="0.25">
      <c r="A305" s="2">
        <v>42972</v>
      </c>
      <c r="B305" s="2">
        <v>42972</v>
      </c>
      <c r="C305" t="str">
        <f>"QU47H9RKVMR8WDW"</f>
        <v>QU47H9RKVMR8WDW</v>
      </c>
      <c r="D305" t="s">
        <v>565</v>
      </c>
      <c r="F305" s="1">
        <v>8612</v>
      </c>
      <c r="G305" s="1">
        <v>2061241.05</v>
      </c>
    </row>
    <row r="306" spans="1:7" x14ac:dyDescent="0.25">
      <c r="A306" s="2">
        <v>42972</v>
      </c>
      <c r="B306" s="2">
        <v>42972</v>
      </c>
      <c r="C306" t="str">
        <f t="shared" ref="C306:C311" si="3">"7D5A19D8N97KIB0"</f>
        <v>7D5A19D8N97KIB0</v>
      </c>
      <c r="D306" t="s">
        <v>566</v>
      </c>
      <c r="F306" s="1">
        <v>1217.9000000000001</v>
      </c>
      <c r="G306" s="1">
        <v>2062458.95</v>
      </c>
    </row>
    <row r="307" spans="1:7" x14ac:dyDescent="0.25">
      <c r="A307" s="2">
        <v>42972</v>
      </c>
      <c r="B307" s="2">
        <v>42972</v>
      </c>
      <c r="C307" t="str">
        <f t="shared" si="3"/>
        <v>7D5A19D8N97KIB0</v>
      </c>
      <c r="D307" t="s">
        <v>567</v>
      </c>
      <c r="F307" s="1">
        <v>5193</v>
      </c>
      <c r="G307" s="1">
        <v>2067651.95</v>
      </c>
    </row>
    <row r="308" spans="1:7" x14ac:dyDescent="0.25">
      <c r="A308" s="2">
        <v>42972</v>
      </c>
      <c r="B308" s="2">
        <v>42972</v>
      </c>
      <c r="C308" t="str">
        <f t="shared" si="3"/>
        <v>7D5A19D8N97KIB0</v>
      </c>
      <c r="D308" t="s">
        <v>568</v>
      </c>
      <c r="F308" s="1">
        <v>22729</v>
      </c>
      <c r="G308" s="1">
        <v>2090380.95</v>
      </c>
    </row>
    <row r="309" spans="1:7" x14ac:dyDescent="0.25">
      <c r="A309" s="2">
        <v>42972</v>
      </c>
      <c r="B309" s="2">
        <v>42972</v>
      </c>
      <c r="C309" t="str">
        <f t="shared" si="3"/>
        <v>7D5A19D8N97KIB0</v>
      </c>
      <c r="D309" t="s">
        <v>569</v>
      </c>
      <c r="F309" s="1">
        <v>66322</v>
      </c>
      <c r="G309" s="1">
        <v>2156702.9500000002</v>
      </c>
    </row>
    <row r="310" spans="1:7" x14ac:dyDescent="0.25">
      <c r="A310" s="2">
        <v>42972</v>
      </c>
      <c r="B310" s="2">
        <v>42972</v>
      </c>
      <c r="C310" t="str">
        <f t="shared" si="3"/>
        <v>7D5A19D8N97KIB0</v>
      </c>
      <c r="D310" t="s">
        <v>570</v>
      </c>
      <c r="F310" s="1">
        <v>70446</v>
      </c>
      <c r="G310" s="1">
        <v>2227148.9500000002</v>
      </c>
    </row>
    <row r="311" spans="1:7" x14ac:dyDescent="0.25">
      <c r="A311" s="2">
        <v>42972</v>
      </c>
      <c r="B311" s="2">
        <v>42972</v>
      </c>
      <c r="C311" t="str">
        <f t="shared" si="3"/>
        <v>7D5A19D8N97KIB0</v>
      </c>
      <c r="D311" t="s">
        <v>571</v>
      </c>
      <c r="F311" s="1">
        <v>105318</v>
      </c>
      <c r="G311" s="1">
        <v>2332466.9500000002</v>
      </c>
    </row>
    <row r="312" spans="1:7" x14ac:dyDescent="0.25">
      <c r="A312" s="2">
        <v>42972</v>
      </c>
      <c r="B312" s="2">
        <v>42972</v>
      </c>
      <c r="C312" t="str">
        <f>"BJNW6844401"</f>
        <v>BJNW6844401</v>
      </c>
      <c r="D312" t="s">
        <v>572</v>
      </c>
      <c r="E312" s="1">
        <v>3100</v>
      </c>
      <c r="G312" s="1">
        <v>2329366.9500000002</v>
      </c>
    </row>
    <row r="313" spans="1:7" x14ac:dyDescent="0.25">
      <c r="A313" s="2">
        <v>42972</v>
      </c>
      <c r="B313" s="2">
        <v>42972</v>
      </c>
      <c r="C313" t="str">
        <f>"9908252017TBMA000"</f>
        <v>9908252017TBMA000</v>
      </c>
      <c r="D313" t="s">
        <v>573</v>
      </c>
      <c r="E313">
        <v>1</v>
      </c>
      <c r="G313" s="1">
        <v>2329365.9500000002</v>
      </c>
    </row>
    <row r="314" spans="1:7" x14ac:dyDescent="0.25">
      <c r="A314" s="2">
        <v>42972</v>
      </c>
      <c r="B314" s="2">
        <v>42972</v>
      </c>
      <c r="C314" t="str">
        <f>"0208252017SAOW000"</f>
        <v>0208252017SAOW000</v>
      </c>
      <c r="D314" t="s">
        <v>574</v>
      </c>
      <c r="E314" s="1">
        <v>1728</v>
      </c>
      <c r="G314" s="1">
        <v>2327637.9500000002</v>
      </c>
    </row>
    <row r="315" spans="1:7" x14ac:dyDescent="0.25">
      <c r="A315" s="2">
        <v>42972</v>
      </c>
      <c r="B315" s="2">
        <v>42972</v>
      </c>
      <c r="C315" t="str">
        <f>"OUTGOING RTGS SW09925081750932EDMS 199"</f>
        <v>OUTGOING RTGS SW09925081750932EDMS 199</v>
      </c>
      <c r="D315" t="s">
        <v>575</v>
      </c>
      <c r="E315" s="1">
        <v>4719</v>
      </c>
      <c r="G315" s="1">
        <v>2322918.9500000002</v>
      </c>
    </row>
    <row r="316" spans="1:7" x14ac:dyDescent="0.25">
      <c r="A316" s="2">
        <v>42972</v>
      </c>
      <c r="B316" s="2">
        <v>42972</v>
      </c>
      <c r="C316" t="str">
        <f>"00226549"</f>
        <v>00226549</v>
      </c>
      <c r="D316" t="s">
        <v>19</v>
      </c>
      <c r="E316">
        <v>14.53</v>
      </c>
      <c r="G316" s="1">
        <v>2322904.42</v>
      </c>
    </row>
    <row r="317" spans="1:7" x14ac:dyDescent="0.25">
      <c r="A317" s="2">
        <v>42972</v>
      </c>
      <c r="B317" s="2">
        <v>42972</v>
      </c>
      <c r="C317" t="str">
        <f>"00573118"</f>
        <v>00573118</v>
      </c>
      <c r="D317" t="s">
        <v>20</v>
      </c>
      <c r="E317">
        <v>1.45</v>
      </c>
      <c r="G317" s="1">
        <v>2322902.9700000002</v>
      </c>
    </row>
    <row r="318" spans="1:7" x14ac:dyDescent="0.25">
      <c r="A318" s="2">
        <v>42972</v>
      </c>
      <c r="B318" s="2">
        <v>42972</v>
      </c>
      <c r="C318" t="str">
        <f>"BJNW6848701"</f>
        <v>BJNW6848701</v>
      </c>
      <c r="D318" t="s">
        <v>576</v>
      </c>
      <c r="E318" s="1">
        <v>10056</v>
      </c>
      <c r="G318" s="1">
        <v>2312846.9700000002</v>
      </c>
    </row>
    <row r="319" spans="1:7" x14ac:dyDescent="0.25">
      <c r="A319" s="2">
        <v>42972</v>
      </c>
      <c r="B319" s="2">
        <v>42972</v>
      </c>
      <c r="C319" t="str">
        <f>"0V6PD4ZEYJ1WL7H"</f>
        <v>0V6PD4ZEYJ1WL7H</v>
      </c>
      <c r="D319" t="s">
        <v>577</v>
      </c>
      <c r="F319">
        <v>880</v>
      </c>
      <c r="G319" s="1">
        <v>2317107.9700000002</v>
      </c>
    </row>
    <row r="320" spans="1:7" x14ac:dyDescent="0.25">
      <c r="A320" s="2">
        <v>42972</v>
      </c>
      <c r="B320" s="2">
        <v>42972</v>
      </c>
      <c r="C320" t="str">
        <f>"BMLM5730601"</f>
        <v>BMLM5730601</v>
      </c>
      <c r="D320" t="s">
        <v>36</v>
      </c>
      <c r="F320">
        <v>110</v>
      </c>
      <c r="G320" s="1">
        <v>2317217.9700000002</v>
      </c>
    </row>
    <row r="321" spans="1:7" x14ac:dyDescent="0.25">
      <c r="A321" s="2">
        <v>42972</v>
      </c>
      <c r="B321" s="2">
        <v>42972</v>
      </c>
      <c r="C321" t="str">
        <f>"BMLM5730701"</f>
        <v>BMLM5730701</v>
      </c>
      <c r="D321" t="s">
        <v>36</v>
      </c>
      <c r="F321">
        <v>230</v>
      </c>
      <c r="G321" s="1">
        <v>2317447.9700000002</v>
      </c>
    </row>
    <row r="322" spans="1:7" x14ac:dyDescent="0.25">
      <c r="A322" s="2">
        <v>42972</v>
      </c>
      <c r="B322" s="2">
        <v>42972</v>
      </c>
      <c r="C322" t="str">
        <f>"BMLM5730801"</f>
        <v>BMLM5730801</v>
      </c>
      <c r="D322" t="s">
        <v>36</v>
      </c>
      <c r="F322">
        <v>450</v>
      </c>
      <c r="G322" s="1">
        <v>2317897.9700000002</v>
      </c>
    </row>
    <row r="323" spans="1:7" x14ac:dyDescent="0.25">
      <c r="A323" s="2">
        <v>42972</v>
      </c>
      <c r="B323" s="2">
        <v>42972</v>
      </c>
      <c r="C323" t="str">
        <f>"9908252017TBMA023"</f>
        <v>9908252017TBMA023</v>
      </c>
      <c r="D323" t="s">
        <v>578</v>
      </c>
      <c r="F323" s="1">
        <v>20698</v>
      </c>
      <c r="G323" s="1">
        <v>2338595.9700000002</v>
      </c>
    </row>
    <row r="324" spans="1:7" x14ac:dyDescent="0.25">
      <c r="A324" s="2">
        <v>42972</v>
      </c>
      <c r="B324" s="2">
        <v>42972</v>
      </c>
      <c r="C324" t="str">
        <f>"9908252017TBMA023"</f>
        <v>9908252017TBMA023</v>
      </c>
      <c r="D324" t="s">
        <v>578</v>
      </c>
      <c r="E324">
        <v>10</v>
      </c>
      <c r="G324" s="1">
        <v>2338585.9700000002</v>
      </c>
    </row>
    <row r="325" spans="1:7" x14ac:dyDescent="0.25">
      <c r="A325" s="2">
        <v>42972</v>
      </c>
      <c r="B325" s="2">
        <v>42972</v>
      </c>
      <c r="C325" t="str">
        <f>"9908252017TBMA023"</f>
        <v>9908252017TBMA023</v>
      </c>
      <c r="D325" t="s">
        <v>579</v>
      </c>
      <c r="E325">
        <v>1</v>
      </c>
      <c r="G325" s="1">
        <v>2338584.9700000002</v>
      </c>
    </row>
    <row r="326" spans="1:7" x14ac:dyDescent="0.25">
      <c r="A326" s="2">
        <v>42972</v>
      </c>
      <c r="B326" s="2">
        <v>42983</v>
      </c>
      <c r="C326" t="str">
        <f>"BMLM5729901"</f>
        <v>BMLM5729901</v>
      </c>
      <c r="D326" t="s">
        <v>580</v>
      </c>
      <c r="F326" s="1">
        <v>2270</v>
      </c>
      <c r="G326" s="1">
        <v>1579818.88</v>
      </c>
    </row>
    <row r="327" spans="1:7" x14ac:dyDescent="0.25">
      <c r="A327" s="2">
        <v>42972</v>
      </c>
      <c r="B327" s="2">
        <v>42983</v>
      </c>
      <c r="C327" t="str">
        <f>"BMLM5730001"</f>
        <v>BMLM5730001</v>
      </c>
      <c r="D327" t="s">
        <v>581</v>
      </c>
      <c r="F327">
        <v>986</v>
      </c>
      <c r="G327" s="1">
        <v>1579818.88</v>
      </c>
    </row>
    <row r="328" spans="1:7" x14ac:dyDescent="0.25">
      <c r="A328" s="2">
        <v>42972</v>
      </c>
      <c r="B328" s="2">
        <v>42983</v>
      </c>
      <c r="C328" t="str">
        <f>"BMLM5730101"</f>
        <v>BMLM5730101</v>
      </c>
      <c r="D328" t="s">
        <v>582</v>
      </c>
      <c r="F328">
        <v>125</v>
      </c>
      <c r="G328" s="1">
        <v>1579818.88</v>
      </c>
    </row>
    <row r="329" spans="1:7" x14ac:dyDescent="0.25">
      <c r="A329" s="2">
        <v>42975</v>
      </c>
      <c r="B329" s="2">
        <v>42975</v>
      </c>
      <c r="C329" t="str">
        <f>"IRTM0576602"</f>
        <v>IRTM0576602</v>
      </c>
      <c r="D329" t="s">
        <v>32</v>
      </c>
      <c r="F329">
        <v>23</v>
      </c>
      <c r="G329" s="1">
        <v>2338607.9700000002</v>
      </c>
    </row>
    <row r="330" spans="1:7" x14ac:dyDescent="0.25">
      <c r="A330" s="2">
        <v>42975</v>
      </c>
      <c r="B330" s="2">
        <v>42975</v>
      </c>
      <c r="C330" t="str">
        <f>"IRTM0576701"</f>
        <v>IRTM0576701</v>
      </c>
      <c r="D330" t="s">
        <v>32</v>
      </c>
      <c r="F330">
        <v>30</v>
      </c>
      <c r="G330" s="1">
        <v>2338637.9700000002</v>
      </c>
    </row>
    <row r="331" spans="1:7" x14ac:dyDescent="0.25">
      <c r="A331" s="2">
        <v>42975</v>
      </c>
      <c r="B331" s="2">
        <v>42975</v>
      </c>
      <c r="C331" t="str">
        <f>"IRTM0576801"</f>
        <v>IRTM0576801</v>
      </c>
      <c r="D331" t="s">
        <v>32</v>
      </c>
      <c r="F331">
        <v>49</v>
      </c>
      <c r="G331" s="1">
        <v>2338686.9700000002</v>
      </c>
    </row>
    <row r="332" spans="1:7" x14ac:dyDescent="0.25">
      <c r="A332" s="2">
        <v>42975</v>
      </c>
      <c r="B332" s="2">
        <v>42975</v>
      </c>
      <c r="C332" t="str">
        <f>"20170828100826565"</f>
        <v>20170828100826565</v>
      </c>
      <c r="D332" t="s">
        <v>583</v>
      </c>
      <c r="E332" s="1">
        <v>4620</v>
      </c>
      <c r="G332" s="1">
        <v>2334066.9700000002</v>
      </c>
    </row>
    <row r="333" spans="1:7" x14ac:dyDescent="0.25">
      <c r="A333" s="2">
        <v>42975</v>
      </c>
      <c r="B333" s="2">
        <v>42975</v>
      </c>
      <c r="C333" t="str">
        <f>"20170828100826565"</f>
        <v>20170828100826565</v>
      </c>
      <c r="D333" t="s">
        <v>584</v>
      </c>
      <c r="E333">
        <v>440</v>
      </c>
      <c r="G333" s="1">
        <v>2333626.9700000002</v>
      </c>
    </row>
    <row r="334" spans="1:7" x14ac:dyDescent="0.25">
      <c r="A334" s="2">
        <v>42975</v>
      </c>
      <c r="B334" s="2">
        <v>42975</v>
      </c>
      <c r="C334" t="str">
        <f>"IJT9G9H5R5NQUEB"</f>
        <v>IJT9G9H5R5NQUEB</v>
      </c>
      <c r="D334" t="s">
        <v>585</v>
      </c>
      <c r="F334" s="1">
        <v>22382</v>
      </c>
      <c r="G334" s="1">
        <v>2356008.9700000002</v>
      </c>
    </row>
    <row r="335" spans="1:7" x14ac:dyDescent="0.25">
      <c r="A335" s="2">
        <v>42975</v>
      </c>
      <c r="B335" s="2">
        <v>42975</v>
      </c>
      <c r="C335" t="str">
        <f>"OUTGOING SWIFT SW09928081751408EDMS 298 "</f>
        <v xml:space="preserve">OUTGOING SWIFT SW09928081751408EDMS 298 </v>
      </c>
      <c r="D335" t="s">
        <v>586</v>
      </c>
      <c r="E335">
        <v>381</v>
      </c>
      <c r="G335" s="1">
        <v>2355627.9700000002</v>
      </c>
    </row>
    <row r="336" spans="1:7" x14ac:dyDescent="0.25">
      <c r="A336" s="2">
        <v>42975</v>
      </c>
      <c r="B336" s="2">
        <v>42975</v>
      </c>
      <c r="C336" t="str">
        <f>"00226695"</f>
        <v>00226695</v>
      </c>
      <c r="D336" t="s">
        <v>19</v>
      </c>
      <c r="E336">
        <v>14.54</v>
      </c>
      <c r="G336" s="1">
        <v>2355613.4300000002</v>
      </c>
    </row>
    <row r="337" spans="1:7" x14ac:dyDescent="0.25">
      <c r="A337" s="2">
        <v>42975</v>
      </c>
      <c r="B337" s="2">
        <v>42975</v>
      </c>
      <c r="C337" t="str">
        <f>"00573469"</f>
        <v>00573469</v>
      </c>
      <c r="D337" t="s">
        <v>20</v>
      </c>
      <c r="E337">
        <v>1.45</v>
      </c>
      <c r="G337" s="1">
        <v>2355611.98</v>
      </c>
    </row>
    <row r="338" spans="1:7" x14ac:dyDescent="0.25">
      <c r="A338" s="2">
        <v>42975</v>
      </c>
      <c r="B338" s="2">
        <v>42975</v>
      </c>
      <c r="C338" t="str">
        <f>"9908282017TBMA001"</f>
        <v>9908282017TBMA001</v>
      </c>
      <c r="D338" t="s">
        <v>587</v>
      </c>
      <c r="F338" s="1">
        <v>6098.51</v>
      </c>
      <c r="G338" s="1">
        <v>2361710.4900000002</v>
      </c>
    </row>
    <row r="339" spans="1:7" x14ac:dyDescent="0.25">
      <c r="A339" s="2">
        <v>42975</v>
      </c>
      <c r="B339" s="2">
        <v>42975</v>
      </c>
      <c r="C339" t="str">
        <f>"9908282017TBMA001"</f>
        <v>9908282017TBMA001</v>
      </c>
      <c r="D339" t="s">
        <v>588</v>
      </c>
      <c r="E339">
        <v>1</v>
      </c>
      <c r="G339" s="1">
        <v>2361709.4900000002</v>
      </c>
    </row>
    <row r="340" spans="1:7" x14ac:dyDescent="0.25">
      <c r="A340" s="2">
        <v>42975</v>
      </c>
      <c r="B340" s="2">
        <v>42975</v>
      </c>
      <c r="C340" t="str">
        <f>"9908282017TBMA001"</f>
        <v>9908282017TBMA001</v>
      </c>
      <c r="D340" t="s">
        <v>587</v>
      </c>
      <c r="E340">
        <v>10</v>
      </c>
      <c r="G340" s="1">
        <v>2361699.4900000002</v>
      </c>
    </row>
    <row r="341" spans="1:7" x14ac:dyDescent="0.25">
      <c r="A341" s="2">
        <v>42975</v>
      </c>
      <c r="B341" s="2">
        <v>42975</v>
      </c>
      <c r="C341" t="str">
        <f>"W4NE012DW8KPWHN"</f>
        <v>W4NE012DW8KPWHN</v>
      </c>
      <c r="D341" t="s">
        <v>589</v>
      </c>
      <c r="F341" s="1">
        <v>1442</v>
      </c>
      <c r="G341" s="1">
        <v>2375978.4900000002</v>
      </c>
    </row>
    <row r="342" spans="1:7" x14ac:dyDescent="0.25">
      <c r="A342" s="2">
        <v>42975</v>
      </c>
      <c r="B342" s="2">
        <v>42975</v>
      </c>
      <c r="C342" t="str">
        <f>"W4NE012DW8KPWHN"</f>
        <v>W4NE012DW8KPWHN</v>
      </c>
      <c r="D342" t="s">
        <v>590</v>
      </c>
      <c r="F342" s="1">
        <v>1934</v>
      </c>
      <c r="G342" s="1">
        <v>2377912.4900000002</v>
      </c>
    </row>
    <row r="343" spans="1:7" x14ac:dyDescent="0.25">
      <c r="A343" s="2">
        <v>42975</v>
      </c>
      <c r="B343" s="2">
        <v>42975</v>
      </c>
      <c r="C343" t="str">
        <f>"W4NE012DW8KPWHN"</f>
        <v>W4NE012DW8KPWHN</v>
      </c>
      <c r="D343" t="s">
        <v>591</v>
      </c>
      <c r="F343" s="1">
        <v>5030</v>
      </c>
      <c r="G343" s="1">
        <v>2382942.4900000002</v>
      </c>
    </row>
    <row r="344" spans="1:7" x14ac:dyDescent="0.25">
      <c r="A344" s="2">
        <v>42975</v>
      </c>
      <c r="B344" s="2">
        <v>42975</v>
      </c>
      <c r="C344" t="str">
        <f>"W4NE012DW8KPWHN"</f>
        <v>W4NE012DW8KPWHN</v>
      </c>
      <c r="D344" t="s">
        <v>592</v>
      </c>
      <c r="F344" s="1">
        <v>8439</v>
      </c>
      <c r="G344" s="1">
        <v>2391381.4900000002</v>
      </c>
    </row>
    <row r="345" spans="1:7" x14ac:dyDescent="0.25">
      <c r="A345" s="2">
        <v>42975</v>
      </c>
      <c r="B345" s="2">
        <v>42975</v>
      </c>
      <c r="C345" t="str">
        <f>"W4NE012DW8KPWHN"</f>
        <v>W4NE012DW8KPWHN</v>
      </c>
      <c r="D345" t="s">
        <v>593</v>
      </c>
      <c r="F345" s="1">
        <v>14311</v>
      </c>
      <c r="G345" s="1">
        <v>2405692.4900000002</v>
      </c>
    </row>
    <row r="346" spans="1:7" x14ac:dyDescent="0.25">
      <c r="A346" s="2">
        <v>42975</v>
      </c>
      <c r="B346" s="2">
        <v>42984</v>
      </c>
      <c r="C346" t="str">
        <f>"BMLM5741601"</f>
        <v>BMLM5741601</v>
      </c>
      <c r="D346" t="s">
        <v>594</v>
      </c>
      <c r="F346" s="1">
        <v>12367</v>
      </c>
      <c r="G346" s="1">
        <v>1612549.23</v>
      </c>
    </row>
    <row r="347" spans="1:7" x14ac:dyDescent="0.25">
      <c r="A347" s="2">
        <v>42975</v>
      </c>
      <c r="B347" s="2">
        <v>42984</v>
      </c>
      <c r="C347" t="str">
        <f>"BMLM5741701"</f>
        <v>BMLM5741701</v>
      </c>
      <c r="D347" t="s">
        <v>595</v>
      </c>
      <c r="F347">
        <v>470</v>
      </c>
      <c r="G347" s="1">
        <v>1612549.23</v>
      </c>
    </row>
    <row r="348" spans="1:7" x14ac:dyDescent="0.25">
      <c r="A348" s="2">
        <v>42976</v>
      </c>
      <c r="B348" s="2">
        <v>42976</v>
      </c>
      <c r="C348" t="str">
        <f>"9HUICC2QWM1WMXK"</f>
        <v>9HUICC2QWM1WMXK</v>
      </c>
      <c r="D348" t="s">
        <v>596</v>
      </c>
      <c r="F348">
        <v>876</v>
      </c>
      <c r="G348" s="1">
        <v>2406568.4900000002</v>
      </c>
    </row>
    <row r="349" spans="1:7" x14ac:dyDescent="0.25">
      <c r="A349" s="2">
        <v>42976</v>
      </c>
      <c r="B349" s="2">
        <v>42976</v>
      </c>
      <c r="C349" t="str">
        <f>"KZGNRTGMLZVRX8R"</f>
        <v>KZGNRTGMLZVRX8R</v>
      </c>
      <c r="D349" t="s">
        <v>597</v>
      </c>
      <c r="F349">
        <v>191.1</v>
      </c>
      <c r="G349" s="1">
        <v>2406759.59</v>
      </c>
    </row>
    <row r="350" spans="1:7" x14ac:dyDescent="0.25">
      <c r="A350" s="2">
        <v>42976</v>
      </c>
      <c r="B350" s="2">
        <v>42976</v>
      </c>
      <c r="C350" t="str">
        <f>"9908292017TBMA001"</f>
        <v>9908292017TBMA001</v>
      </c>
      <c r="D350" t="s">
        <v>598</v>
      </c>
      <c r="E350">
        <v>1</v>
      </c>
      <c r="G350" s="1">
        <v>2406758.59</v>
      </c>
    </row>
    <row r="351" spans="1:7" x14ac:dyDescent="0.25">
      <c r="A351" s="2">
        <v>42976</v>
      </c>
      <c r="B351" s="2">
        <v>42976</v>
      </c>
      <c r="C351" t="str">
        <f>"9908292017TBMA001"</f>
        <v>9908292017TBMA001</v>
      </c>
      <c r="D351" t="s">
        <v>599</v>
      </c>
      <c r="F351" s="1">
        <v>26473.99</v>
      </c>
      <c r="G351" s="1">
        <v>2433232.58</v>
      </c>
    </row>
    <row r="352" spans="1:7" x14ac:dyDescent="0.25">
      <c r="A352" s="2">
        <v>42976</v>
      </c>
      <c r="B352" s="2">
        <v>42976</v>
      </c>
      <c r="C352" t="str">
        <f>"9908292017TBMA001"</f>
        <v>9908292017TBMA001</v>
      </c>
      <c r="D352" t="s">
        <v>599</v>
      </c>
      <c r="E352">
        <v>10</v>
      </c>
      <c r="G352" s="1">
        <v>2433222.58</v>
      </c>
    </row>
    <row r="353" spans="1:7" x14ac:dyDescent="0.25">
      <c r="A353" s="2">
        <v>42976</v>
      </c>
      <c r="B353" s="2">
        <v>42976</v>
      </c>
      <c r="C353" t="str">
        <f>"9908292017TBMA002"</f>
        <v>9908292017TBMA002</v>
      </c>
      <c r="D353" t="s">
        <v>600</v>
      </c>
      <c r="F353">
        <v>365</v>
      </c>
      <c r="G353" s="1">
        <v>2433587.58</v>
      </c>
    </row>
    <row r="354" spans="1:7" x14ac:dyDescent="0.25">
      <c r="A354" s="2">
        <v>42976</v>
      </c>
      <c r="B354" s="2">
        <v>42976</v>
      </c>
      <c r="C354" t="str">
        <f>"E62V2KUVDHQ5HWO"</f>
        <v>E62V2KUVDHQ5HWO</v>
      </c>
      <c r="D354" t="s">
        <v>601</v>
      </c>
      <c r="F354" s="1">
        <v>1753</v>
      </c>
      <c r="G354" s="1">
        <v>2435340.58</v>
      </c>
    </row>
    <row r="355" spans="1:7" x14ac:dyDescent="0.25">
      <c r="A355" s="2">
        <v>42976</v>
      </c>
      <c r="B355" s="2">
        <v>42976</v>
      </c>
      <c r="C355" t="str">
        <f>"E62V2KUVDHQ5HWO"</f>
        <v>E62V2KUVDHQ5HWO</v>
      </c>
      <c r="D355" t="s">
        <v>602</v>
      </c>
      <c r="F355" s="1">
        <v>3319</v>
      </c>
      <c r="G355" s="1">
        <v>2438659.58</v>
      </c>
    </row>
    <row r="356" spans="1:7" x14ac:dyDescent="0.25">
      <c r="A356" s="2">
        <v>42976</v>
      </c>
      <c r="B356" s="2">
        <v>42976</v>
      </c>
      <c r="C356" t="str">
        <f>"E62V2KUVDHQ5HWO"</f>
        <v>E62V2KUVDHQ5HWO</v>
      </c>
      <c r="D356" t="s">
        <v>603</v>
      </c>
      <c r="F356" s="1">
        <v>6452</v>
      </c>
      <c r="G356" s="1">
        <v>2445111.58</v>
      </c>
    </row>
    <row r="357" spans="1:7" x14ac:dyDescent="0.25">
      <c r="A357" s="2">
        <v>42976</v>
      </c>
      <c r="B357" s="2">
        <v>42976</v>
      </c>
      <c r="C357" t="str">
        <f>"E62V2KUVDHQ5HWO"</f>
        <v>E62V2KUVDHQ5HWO</v>
      </c>
      <c r="D357" t="s">
        <v>604</v>
      </c>
      <c r="F357" s="1">
        <v>11892</v>
      </c>
      <c r="G357" s="1">
        <v>2457003.58</v>
      </c>
    </row>
    <row r="358" spans="1:7" x14ac:dyDescent="0.25">
      <c r="A358" s="2">
        <v>42976</v>
      </c>
      <c r="B358" s="2">
        <v>42976</v>
      </c>
      <c r="C358" t="str">
        <f>"OUTGOING SWIFT SW09929081752726PR-000000"</f>
        <v>OUTGOING SWIFT SW09929081752726PR-000000</v>
      </c>
      <c r="D358" t="s">
        <v>605</v>
      </c>
      <c r="E358" s="1">
        <v>1019</v>
      </c>
      <c r="G358" s="1">
        <v>2455984.58</v>
      </c>
    </row>
    <row r="359" spans="1:7" x14ac:dyDescent="0.25">
      <c r="A359" s="2">
        <v>42976</v>
      </c>
      <c r="B359" s="2">
        <v>42976</v>
      </c>
      <c r="C359" t="str">
        <f>"00226958"</f>
        <v>00226958</v>
      </c>
      <c r="D359" t="s">
        <v>19</v>
      </c>
      <c r="E359">
        <v>14.54</v>
      </c>
      <c r="G359" s="1">
        <v>2455970.04</v>
      </c>
    </row>
    <row r="360" spans="1:7" x14ac:dyDescent="0.25">
      <c r="A360" s="2">
        <v>42976</v>
      </c>
      <c r="B360" s="2">
        <v>42976</v>
      </c>
      <c r="C360" t="str">
        <f>"00574207"</f>
        <v>00574207</v>
      </c>
      <c r="D360" t="s">
        <v>20</v>
      </c>
      <c r="E360">
        <v>1.45</v>
      </c>
      <c r="G360" s="1">
        <v>2455968.59</v>
      </c>
    </row>
    <row r="361" spans="1:7" x14ac:dyDescent="0.25">
      <c r="A361" s="2">
        <v>42976</v>
      </c>
      <c r="B361" s="2">
        <v>42976</v>
      </c>
      <c r="C361" t="str">
        <f>"9908292017ENNA006"</f>
        <v>9908292017ENNA006</v>
      </c>
      <c r="D361" t="s">
        <v>606</v>
      </c>
      <c r="F361">
        <v>132</v>
      </c>
      <c r="G361" s="1">
        <v>2456100.59</v>
      </c>
    </row>
    <row r="362" spans="1:7" x14ac:dyDescent="0.25">
      <c r="A362" s="2">
        <v>42976</v>
      </c>
      <c r="B362" s="2">
        <v>42976</v>
      </c>
      <c r="C362" t="str">
        <f>"OUTGOING SWIFY SW09929081752752PR-000000"</f>
        <v>OUTGOING SWIFY SW09929081752752PR-000000</v>
      </c>
      <c r="D362" t="s">
        <v>607</v>
      </c>
      <c r="E362">
        <v>200</v>
      </c>
      <c r="G362" s="1">
        <v>2455900.59</v>
      </c>
    </row>
    <row r="363" spans="1:7" x14ac:dyDescent="0.25">
      <c r="A363" s="2">
        <v>42976</v>
      </c>
      <c r="B363" s="2">
        <v>42976</v>
      </c>
      <c r="C363" t="str">
        <f>"00226959"</f>
        <v>00226959</v>
      </c>
      <c r="D363" t="s">
        <v>19</v>
      </c>
      <c r="E363">
        <v>14.54</v>
      </c>
      <c r="G363" s="1">
        <v>2455886.0499999998</v>
      </c>
    </row>
    <row r="364" spans="1:7" x14ac:dyDescent="0.25">
      <c r="A364" s="2">
        <v>42976</v>
      </c>
      <c r="B364" s="2">
        <v>42976</v>
      </c>
      <c r="C364" t="str">
        <f>"00574210"</f>
        <v>00574210</v>
      </c>
      <c r="D364" t="s">
        <v>20</v>
      </c>
      <c r="E364">
        <v>1.45</v>
      </c>
      <c r="G364" s="1">
        <v>2455884.6</v>
      </c>
    </row>
    <row r="365" spans="1:7" x14ac:dyDescent="0.25">
      <c r="A365" s="2">
        <v>42976</v>
      </c>
      <c r="B365" s="2">
        <v>42976</v>
      </c>
      <c r="C365" t="str">
        <f>"BMLM5747701"</f>
        <v>BMLM5747701</v>
      </c>
      <c r="D365" t="s">
        <v>36</v>
      </c>
      <c r="F365">
        <v>90</v>
      </c>
      <c r="G365" s="1">
        <v>2455974.6</v>
      </c>
    </row>
    <row r="366" spans="1:7" x14ac:dyDescent="0.25">
      <c r="A366" s="2">
        <v>42976</v>
      </c>
      <c r="B366" s="2">
        <v>42976</v>
      </c>
      <c r="C366" t="str">
        <f>"BMLM5747801"</f>
        <v>BMLM5747801</v>
      </c>
      <c r="D366" t="s">
        <v>36</v>
      </c>
      <c r="F366">
        <v>233</v>
      </c>
      <c r="G366" s="1">
        <v>2456207.6</v>
      </c>
    </row>
    <row r="367" spans="1:7" x14ac:dyDescent="0.25">
      <c r="A367" s="2">
        <v>42976</v>
      </c>
      <c r="B367" s="2">
        <v>42976</v>
      </c>
      <c r="C367" t="str">
        <f>"BMLM5748001"</f>
        <v>BMLM5748001</v>
      </c>
      <c r="D367" t="s">
        <v>36</v>
      </c>
      <c r="F367">
        <v>611</v>
      </c>
      <c r="G367" s="1">
        <v>2456818.6</v>
      </c>
    </row>
    <row r="368" spans="1:7" x14ac:dyDescent="0.25">
      <c r="A368" s="2">
        <v>42976</v>
      </c>
      <c r="B368" s="2">
        <v>42976</v>
      </c>
      <c r="C368" t="str">
        <f>"HT1TZ1XPYMHBE3Y"</f>
        <v>HT1TZ1XPYMHBE3Y</v>
      </c>
      <c r="D368" t="s">
        <v>608</v>
      </c>
      <c r="F368" s="1">
        <v>6219.4</v>
      </c>
      <c r="G368" s="1">
        <v>2465326</v>
      </c>
    </row>
    <row r="369" spans="1:7" x14ac:dyDescent="0.25">
      <c r="A369" s="2">
        <v>42976</v>
      </c>
      <c r="B369" s="2">
        <v>42985</v>
      </c>
      <c r="C369" t="str">
        <f>"BMLM5748201"</f>
        <v>BMLM5748201</v>
      </c>
      <c r="D369" t="s">
        <v>609</v>
      </c>
      <c r="F369">
        <v>895</v>
      </c>
      <c r="G369" s="1">
        <v>2347109.65</v>
      </c>
    </row>
    <row r="370" spans="1:7" x14ac:dyDescent="0.25">
      <c r="A370" s="2">
        <v>42976</v>
      </c>
      <c r="B370" s="2">
        <v>42985</v>
      </c>
      <c r="C370" t="str">
        <f>"BMLM5748301"</f>
        <v>BMLM5748301</v>
      </c>
      <c r="D370" t="s">
        <v>610</v>
      </c>
      <c r="F370" s="1">
        <v>1393</v>
      </c>
      <c r="G370" s="1">
        <v>2347109.65</v>
      </c>
    </row>
    <row r="371" spans="1:7" x14ac:dyDescent="0.25">
      <c r="A371" s="2">
        <v>42977</v>
      </c>
      <c r="B371" s="2">
        <v>42977</v>
      </c>
      <c r="C371" t="str">
        <f>"20170830092752554"</f>
        <v>20170830092752554</v>
      </c>
      <c r="D371" t="s">
        <v>611</v>
      </c>
      <c r="E371" s="1">
        <v>7966</v>
      </c>
      <c r="G371" s="1">
        <v>2457360</v>
      </c>
    </row>
    <row r="372" spans="1:7" x14ac:dyDescent="0.25">
      <c r="A372" s="2">
        <v>42977</v>
      </c>
      <c r="B372" s="2">
        <v>42977</v>
      </c>
      <c r="C372" t="str">
        <f>"K1M6013QKPE7F29"</f>
        <v>K1M6013QKPE7F29</v>
      </c>
      <c r="D372" t="s">
        <v>612</v>
      </c>
      <c r="E372">
        <v>8.24</v>
      </c>
      <c r="G372" s="1">
        <v>2457351.7599999998</v>
      </c>
    </row>
    <row r="373" spans="1:7" x14ac:dyDescent="0.25">
      <c r="A373" s="2">
        <v>42977</v>
      </c>
      <c r="B373" s="2">
        <v>42977</v>
      </c>
      <c r="C373" t="str">
        <f>"QLLU9P0B6Z0KSFHZ"</f>
        <v>QLLU9P0B6Z0KSFHZ</v>
      </c>
      <c r="D373" t="s">
        <v>613</v>
      </c>
      <c r="F373">
        <v>440</v>
      </c>
      <c r="G373" s="1">
        <v>2457791.7599999998</v>
      </c>
    </row>
    <row r="374" spans="1:7" x14ac:dyDescent="0.25">
      <c r="A374" s="2">
        <v>42977</v>
      </c>
      <c r="B374" s="2">
        <v>42977</v>
      </c>
      <c r="C374" t="str">
        <f>"QLLU9P0B6Z0KSFHZ"</f>
        <v>QLLU9P0B6Z0KSFHZ</v>
      </c>
      <c r="D374" t="s">
        <v>614</v>
      </c>
      <c r="F374">
        <v>824</v>
      </c>
      <c r="G374" s="1">
        <v>2458615.7599999998</v>
      </c>
    </row>
    <row r="375" spans="1:7" x14ac:dyDescent="0.25">
      <c r="A375" s="2">
        <v>42977</v>
      </c>
      <c r="B375" s="2">
        <v>42977</v>
      </c>
      <c r="C375" t="str">
        <f>"QLLU9P0B6Z0KSFHZ"</f>
        <v>QLLU9P0B6Z0KSFHZ</v>
      </c>
      <c r="D375" t="s">
        <v>615</v>
      </c>
      <c r="F375" s="1">
        <v>2594</v>
      </c>
      <c r="G375" s="1">
        <v>2461209.7599999998</v>
      </c>
    </row>
    <row r="376" spans="1:7" x14ac:dyDescent="0.25">
      <c r="A376" s="2">
        <v>42977</v>
      </c>
      <c r="B376" s="2">
        <v>42977</v>
      </c>
      <c r="C376" t="str">
        <f>"QLLU9P0B6Z0KSFHZ"</f>
        <v>QLLU9P0B6Z0KSFHZ</v>
      </c>
      <c r="D376" t="s">
        <v>616</v>
      </c>
      <c r="F376" s="1">
        <v>20670</v>
      </c>
      <c r="G376" s="1">
        <v>2481879.7599999998</v>
      </c>
    </row>
    <row r="377" spans="1:7" x14ac:dyDescent="0.25">
      <c r="A377" s="2">
        <v>42977</v>
      </c>
      <c r="B377" s="2">
        <v>42977</v>
      </c>
      <c r="C377" t="str">
        <f>"9908302017TBMA002"</f>
        <v>9908302017TBMA002</v>
      </c>
      <c r="D377" t="s">
        <v>617</v>
      </c>
      <c r="E377">
        <v>10</v>
      </c>
      <c r="G377" s="1">
        <v>2481869.7599999998</v>
      </c>
    </row>
    <row r="378" spans="1:7" x14ac:dyDescent="0.25">
      <c r="A378" s="2">
        <v>42977</v>
      </c>
      <c r="B378" s="2">
        <v>42977</v>
      </c>
      <c r="C378" t="str">
        <f>"9908302017TBMA002"</f>
        <v>9908302017TBMA002</v>
      </c>
      <c r="D378" t="s">
        <v>618</v>
      </c>
      <c r="E378">
        <v>1</v>
      </c>
      <c r="G378" s="1">
        <v>2481868.7599999998</v>
      </c>
    </row>
    <row r="379" spans="1:7" x14ac:dyDescent="0.25">
      <c r="A379" s="2">
        <v>42977</v>
      </c>
      <c r="B379" s="2">
        <v>42977</v>
      </c>
      <c r="C379" t="str">
        <f>"9908302017TBMA002"</f>
        <v>9908302017TBMA002</v>
      </c>
      <c r="D379" t="s">
        <v>617</v>
      </c>
      <c r="F379" s="1">
        <v>12465</v>
      </c>
      <c r="G379" s="1">
        <v>2494333.7599999998</v>
      </c>
    </row>
    <row r="380" spans="1:7" x14ac:dyDescent="0.25">
      <c r="A380" s="2">
        <v>42977</v>
      </c>
      <c r="B380" s="2">
        <v>42977</v>
      </c>
      <c r="C380" t="str">
        <f>"JHSGQ5X7VWF4MSX"</f>
        <v>JHSGQ5X7VWF4MSX</v>
      </c>
      <c r="D380" t="s">
        <v>619</v>
      </c>
      <c r="F380" s="1">
        <v>11527</v>
      </c>
      <c r="G380" s="1">
        <v>2505860.7599999998</v>
      </c>
    </row>
    <row r="381" spans="1:7" x14ac:dyDescent="0.25">
      <c r="A381" s="2">
        <v>42977</v>
      </c>
      <c r="B381" s="2">
        <v>42977</v>
      </c>
      <c r="C381" t="str">
        <f>"BMLM5756601"</f>
        <v>BMLM5756601</v>
      </c>
      <c r="D381" t="s">
        <v>36</v>
      </c>
      <c r="F381">
        <v>850</v>
      </c>
      <c r="G381" s="1">
        <v>2511155.16</v>
      </c>
    </row>
    <row r="382" spans="1:7" x14ac:dyDescent="0.25">
      <c r="A382" s="2">
        <v>42977</v>
      </c>
      <c r="B382" s="2">
        <v>42977</v>
      </c>
      <c r="C382" t="str">
        <f>"BMLM5756701"</f>
        <v>BMLM5756701</v>
      </c>
      <c r="D382" t="s">
        <v>36</v>
      </c>
      <c r="F382" s="1">
        <v>1290</v>
      </c>
      <c r="G382" s="1">
        <v>2512445.16</v>
      </c>
    </row>
    <row r="383" spans="1:7" x14ac:dyDescent="0.25">
      <c r="A383" s="2">
        <v>42977</v>
      </c>
      <c r="B383" s="2">
        <v>42977</v>
      </c>
      <c r="C383" t="str">
        <f>"BMLM5756801"</f>
        <v>BMLM5756801</v>
      </c>
      <c r="D383" t="s">
        <v>36</v>
      </c>
      <c r="F383" s="1">
        <v>2225</v>
      </c>
      <c r="G383" s="1">
        <v>2514670.16</v>
      </c>
    </row>
    <row r="384" spans="1:7" x14ac:dyDescent="0.25">
      <c r="A384" s="2">
        <v>42977</v>
      </c>
      <c r="B384" s="2">
        <v>42977</v>
      </c>
      <c r="C384" t="str">
        <f>"MRBL1OS1DET0VLR"</f>
        <v>MRBL1OS1DET0VLR</v>
      </c>
      <c r="D384" t="s">
        <v>620</v>
      </c>
      <c r="F384">
        <v>629</v>
      </c>
      <c r="G384" s="1">
        <v>2515299.16</v>
      </c>
    </row>
    <row r="385" spans="1:7" x14ac:dyDescent="0.25">
      <c r="A385" s="2">
        <v>42977</v>
      </c>
      <c r="B385" s="2">
        <v>42977</v>
      </c>
      <c r="C385" t="str">
        <f>"MRBL1OS1DET0VLR"</f>
        <v>MRBL1OS1DET0VLR</v>
      </c>
      <c r="D385" t="s">
        <v>621</v>
      </c>
      <c r="F385" s="1">
        <v>3434</v>
      </c>
      <c r="G385" s="1">
        <v>2518733.16</v>
      </c>
    </row>
    <row r="386" spans="1:7" x14ac:dyDescent="0.25">
      <c r="A386" s="2">
        <v>42977</v>
      </c>
      <c r="B386" s="2">
        <v>42977</v>
      </c>
      <c r="C386" t="str">
        <f>"MRBL1OS1DET0VLR"</f>
        <v>MRBL1OS1DET0VLR</v>
      </c>
      <c r="D386" t="s">
        <v>622</v>
      </c>
      <c r="F386" s="1">
        <v>7419</v>
      </c>
      <c r="G386" s="1">
        <v>2526152.16</v>
      </c>
    </row>
    <row r="387" spans="1:7" x14ac:dyDescent="0.25">
      <c r="A387" s="2">
        <v>42977</v>
      </c>
      <c r="B387" s="2">
        <v>42977</v>
      </c>
      <c r="C387" t="str">
        <f>"MRBL1OS1DET0VLR"</f>
        <v>MRBL1OS1DET0VLR</v>
      </c>
      <c r="D387" t="s">
        <v>623</v>
      </c>
      <c r="F387" s="1">
        <v>11132</v>
      </c>
      <c r="G387" s="1">
        <v>2537284.16</v>
      </c>
    </row>
    <row r="388" spans="1:7" x14ac:dyDescent="0.25">
      <c r="A388" s="2">
        <v>42977</v>
      </c>
      <c r="B388" s="2">
        <v>42986</v>
      </c>
      <c r="C388" t="str">
        <f>"BMLM5756401"</f>
        <v>BMLM5756401</v>
      </c>
      <c r="D388" t="s">
        <v>624</v>
      </c>
      <c r="F388" s="1">
        <v>1420.4</v>
      </c>
      <c r="G388" s="1">
        <v>2447968.21</v>
      </c>
    </row>
    <row r="389" spans="1:7" x14ac:dyDescent="0.25">
      <c r="A389" s="2">
        <v>42977</v>
      </c>
      <c r="B389" s="2">
        <v>42986</v>
      </c>
      <c r="C389" t="str">
        <f>"BMLM5756501"</f>
        <v>BMLM5756501</v>
      </c>
      <c r="D389" t="s">
        <v>625</v>
      </c>
      <c r="F389" s="1">
        <v>3024</v>
      </c>
      <c r="G389" s="1">
        <v>2447968.21</v>
      </c>
    </row>
    <row r="390" spans="1:7" x14ac:dyDescent="0.25">
      <c r="A390" s="2">
        <v>42978</v>
      </c>
      <c r="B390" s="2">
        <v>42978</v>
      </c>
      <c r="C390" t="str">
        <f>"ISMK1346601"</f>
        <v>ISMK1346601</v>
      </c>
      <c r="D390" t="s">
        <v>626</v>
      </c>
      <c r="F390">
        <v>25</v>
      </c>
      <c r="G390" s="1">
        <v>2537309.16</v>
      </c>
    </row>
    <row r="391" spans="1:7" x14ac:dyDescent="0.25">
      <c r="A391" s="2">
        <v>42978</v>
      </c>
      <c r="B391" s="2">
        <v>42978</v>
      </c>
      <c r="C391" t="str">
        <f>"ISMK1346701"</f>
        <v>ISMK1346701</v>
      </c>
      <c r="D391" t="s">
        <v>626</v>
      </c>
      <c r="F391">
        <v>25</v>
      </c>
      <c r="G391" s="1">
        <v>2537334.16</v>
      </c>
    </row>
    <row r="392" spans="1:7" x14ac:dyDescent="0.25">
      <c r="A392" s="2">
        <v>42978</v>
      </c>
      <c r="B392" s="2">
        <v>42978</v>
      </c>
      <c r="C392" t="str">
        <f>"ISMK1347801"</f>
        <v>ISMK1347801</v>
      </c>
      <c r="D392" t="s">
        <v>626</v>
      </c>
      <c r="F392">
        <v>25</v>
      </c>
      <c r="G392" s="1">
        <v>2537359.16</v>
      </c>
    </row>
    <row r="393" spans="1:7" x14ac:dyDescent="0.25">
      <c r="A393" s="2">
        <v>42978</v>
      </c>
      <c r="B393" s="2">
        <v>42978</v>
      </c>
      <c r="C393" t="str">
        <f>"KNCQ7NXNES320A2"</f>
        <v>KNCQ7NXNES320A2</v>
      </c>
      <c r="D393" t="s">
        <v>627</v>
      </c>
      <c r="F393" s="1">
        <v>56300.6</v>
      </c>
      <c r="G393" s="1">
        <v>2593659.7599999998</v>
      </c>
    </row>
    <row r="394" spans="1:7" x14ac:dyDescent="0.25">
      <c r="A394" s="2">
        <v>42978</v>
      </c>
      <c r="B394" s="2">
        <v>42978</v>
      </c>
      <c r="C394" t="str">
        <f>"KNCQ7NXNES320A2"</f>
        <v>KNCQ7NXNES320A2</v>
      </c>
      <c r="D394" t="s">
        <v>628</v>
      </c>
      <c r="F394" s="1">
        <v>56300.6</v>
      </c>
      <c r="G394" s="1">
        <v>2649960.36</v>
      </c>
    </row>
    <row r="395" spans="1:7" x14ac:dyDescent="0.25">
      <c r="A395" s="2">
        <v>42978</v>
      </c>
      <c r="B395" s="2">
        <v>42978</v>
      </c>
      <c r="C395" t="str">
        <f t="shared" ref="C395:C400" si="4">"32JNC1WV71DDO3S"</f>
        <v>32JNC1WV71DDO3S</v>
      </c>
      <c r="D395" t="s">
        <v>629</v>
      </c>
      <c r="F395">
        <v>105</v>
      </c>
      <c r="G395" s="1">
        <v>2650065.36</v>
      </c>
    </row>
    <row r="396" spans="1:7" x14ac:dyDescent="0.25">
      <c r="A396" s="2">
        <v>42978</v>
      </c>
      <c r="B396" s="2">
        <v>42978</v>
      </c>
      <c r="C396" t="str">
        <f t="shared" si="4"/>
        <v>32JNC1WV71DDO3S</v>
      </c>
      <c r="D396" t="s">
        <v>630</v>
      </c>
      <c r="F396">
        <v>248</v>
      </c>
      <c r="G396" s="1">
        <v>2650313.36</v>
      </c>
    </row>
    <row r="397" spans="1:7" x14ac:dyDescent="0.25">
      <c r="A397" s="2">
        <v>42978</v>
      </c>
      <c r="B397" s="2">
        <v>42978</v>
      </c>
      <c r="C397" t="str">
        <f t="shared" si="4"/>
        <v>32JNC1WV71DDO3S</v>
      </c>
      <c r="D397" t="s">
        <v>631</v>
      </c>
      <c r="F397">
        <v>418</v>
      </c>
      <c r="G397" s="1">
        <v>2650731.36</v>
      </c>
    </row>
    <row r="398" spans="1:7" x14ac:dyDescent="0.25">
      <c r="A398" s="2">
        <v>42978</v>
      </c>
      <c r="B398" s="2">
        <v>42978</v>
      </c>
      <c r="C398" t="str">
        <f t="shared" si="4"/>
        <v>32JNC1WV71DDO3S</v>
      </c>
      <c r="D398" t="s">
        <v>632</v>
      </c>
      <c r="F398" s="1">
        <v>1498.42</v>
      </c>
      <c r="G398" s="1">
        <v>2652229.7799999998</v>
      </c>
    </row>
    <row r="399" spans="1:7" x14ac:dyDescent="0.25">
      <c r="A399" s="2">
        <v>42978</v>
      </c>
      <c r="B399" s="2">
        <v>42978</v>
      </c>
      <c r="C399" t="str">
        <f t="shared" si="4"/>
        <v>32JNC1WV71DDO3S</v>
      </c>
      <c r="D399" t="s">
        <v>633</v>
      </c>
      <c r="F399" s="1">
        <v>1764</v>
      </c>
      <c r="G399" s="1">
        <v>2653993.7799999998</v>
      </c>
    </row>
    <row r="400" spans="1:7" x14ac:dyDescent="0.25">
      <c r="A400" s="2">
        <v>42978</v>
      </c>
      <c r="B400" s="2">
        <v>42978</v>
      </c>
      <c r="C400" t="str">
        <f t="shared" si="4"/>
        <v>32JNC1WV71DDO3S</v>
      </c>
      <c r="D400" t="s">
        <v>634</v>
      </c>
      <c r="F400" s="1">
        <v>5871</v>
      </c>
      <c r="G400" s="1">
        <v>2659864.7799999998</v>
      </c>
    </row>
    <row r="401" spans="1:7" x14ac:dyDescent="0.25">
      <c r="A401" s="2">
        <v>42978</v>
      </c>
      <c r="B401" s="2">
        <v>42978</v>
      </c>
      <c r="C401" t="str">
        <f>"SW09931081754562 OUTGOING RTGSPR-0000000"</f>
        <v>SW09931081754562 OUTGOING RTGSPR-0000000</v>
      </c>
      <c r="D401" t="s">
        <v>635</v>
      </c>
      <c r="E401" s="1">
        <v>356826.17</v>
      </c>
      <c r="G401" s="1">
        <v>2303038.61</v>
      </c>
    </row>
    <row r="402" spans="1:7" x14ac:dyDescent="0.25">
      <c r="A402" s="2">
        <v>42978</v>
      </c>
      <c r="B402" s="2">
        <v>42978</v>
      </c>
      <c r="C402" t="str">
        <f>"00227217"</f>
        <v>00227217</v>
      </c>
      <c r="D402" t="s">
        <v>452</v>
      </c>
      <c r="E402">
        <v>4.8499999999999996</v>
      </c>
      <c r="G402" s="1">
        <v>2303033.7599999998</v>
      </c>
    </row>
    <row r="403" spans="1:7" x14ac:dyDescent="0.25">
      <c r="A403" s="2">
        <v>42978</v>
      </c>
      <c r="B403" s="2">
        <v>42978</v>
      </c>
      <c r="C403" t="str">
        <f>"00002419"</f>
        <v>00002419</v>
      </c>
      <c r="D403" t="s">
        <v>453</v>
      </c>
      <c r="E403">
        <v>0.48</v>
      </c>
      <c r="G403" s="1">
        <v>2303033.2799999998</v>
      </c>
    </row>
    <row r="404" spans="1:7" x14ac:dyDescent="0.25">
      <c r="A404" s="2">
        <v>42978</v>
      </c>
      <c r="B404" s="2">
        <v>42978</v>
      </c>
      <c r="C404" t="str">
        <f>"OUTGOING RTGS SW09931081754554PR-0000000"</f>
        <v>OUTGOING RTGS SW09931081754554PR-0000000</v>
      </c>
      <c r="D404" t="s">
        <v>636</v>
      </c>
      <c r="E404" s="1">
        <v>845560.1</v>
      </c>
      <c r="G404" s="1">
        <v>1457473.18</v>
      </c>
    </row>
    <row r="405" spans="1:7" x14ac:dyDescent="0.25">
      <c r="A405" s="2">
        <v>42978</v>
      </c>
      <c r="B405" s="2">
        <v>42978</v>
      </c>
      <c r="C405" t="str">
        <f>"00227218"</f>
        <v>00227218</v>
      </c>
      <c r="D405" t="s">
        <v>452</v>
      </c>
      <c r="E405">
        <v>4.8499999999999996</v>
      </c>
      <c r="G405" s="1">
        <v>1457468.33</v>
      </c>
    </row>
    <row r="406" spans="1:7" x14ac:dyDescent="0.25">
      <c r="A406" s="2">
        <v>42978</v>
      </c>
      <c r="B406" s="2">
        <v>42978</v>
      </c>
      <c r="C406" t="str">
        <f>"00002420"</f>
        <v>00002420</v>
      </c>
      <c r="D406" t="s">
        <v>453</v>
      </c>
      <c r="E406">
        <v>0.48</v>
      </c>
      <c r="G406" s="1">
        <v>1457467.85</v>
      </c>
    </row>
    <row r="407" spans="1:7" x14ac:dyDescent="0.25">
      <c r="A407" s="2">
        <v>42978</v>
      </c>
      <c r="B407" s="2">
        <v>42978</v>
      </c>
      <c r="C407" t="str">
        <f>"BMLM5764901"</f>
        <v>BMLM5764901</v>
      </c>
      <c r="D407" t="s">
        <v>36</v>
      </c>
      <c r="F407">
        <v>274</v>
      </c>
      <c r="G407" s="1">
        <v>1457741.85</v>
      </c>
    </row>
    <row r="408" spans="1:7" x14ac:dyDescent="0.25">
      <c r="A408" s="2">
        <v>42978</v>
      </c>
      <c r="B408" s="2">
        <v>42978</v>
      </c>
      <c r="C408" t="str">
        <f>"9908312017TBMA013"</f>
        <v>9908312017TBMA013</v>
      </c>
      <c r="D408" t="s">
        <v>637</v>
      </c>
      <c r="E408">
        <v>10</v>
      </c>
      <c r="G408" s="1">
        <v>1488329.85</v>
      </c>
    </row>
    <row r="409" spans="1:7" x14ac:dyDescent="0.25">
      <c r="A409" s="2">
        <v>42978</v>
      </c>
      <c r="B409" s="2">
        <v>42978</v>
      </c>
      <c r="C409" t="str">
        <f>"9908312017TBMA013"</f>
        <v>9908312017TBMA013</v>
      </c>
      <c r="D409" t="s">
        <v>638</v>
      </c>
      <c r="E409">
        <v>1</v>
      </c>
      <c r="G409" s="1">
        <v>1488328.85</v>
      </c>
    </row>
    <row r="410" spans="1:7" x14ac:dyDescent="0.25">
      <c r="A410" s="2">
        <v>42978</v>
      </c>
      <c r="B410" s="2">
        <v>42978</v>
      </c>
      <c r="C410" t="str">
        <f>"9908312017TBMA013"</f>
        <v>9908312017TBMA013</v>
      </c>
      <c r="D410" t="s">
        <v>637</v>
      </c>
      <c r="F410" s="1">
        <v>2478.73</v>
      </c>
      <c r="G410" s="1">
        <v>1490807.58</v>
      </c>
    </row>
    <row r="411" spans="1:7" x14ac:dyDescent="0.25">
      <c r="A411" s="2">
        <v>42978</v>
      </c>
      <c r="B411" s="2">
        <v>42978</v>
      </c>
      <c r="C411" t="str">
        <f>"9908312017ENNA002"</f>
        <v>9908312017ENNA002</v>
      </c>
      <c r="D411" t="s">
        <v>639</v>
      </c>
      <c r="F411" s="1">
        <v>1431</v>
      </c>
      <c r="G411" s="1">
        <v>1492238.58</v>
      </c>
    </row>
    <row r="412" spans="1:7" x14ac:dyDescent="0.25">
      <c r="A412" s="2">
        <v>42978</v>
      </c>
      <c r="B412" s="2">
        <v>42978</v>
      </c>
      <c r="C412" t="str">
        <f>"OUTGOING SWIFT SW099310817546748PR-00000"</f>
        <v>OUTGOING SWIFT SW099310817546748PR-00000</v>
      </c>
      <c r="D412" t="s">
        <v>640</v>
      </c>
      <c r="E412" s="1">
        <v>7646.01</v>
      </c>
      <c r="G412" s="1">
        <v>1484592.57</v>
      </c>
    </row>
    <row r="413" spans="1:7" x14ac:dyDescent="0.25">
      <c r="A413" s="2">
        <v>42978</v>
      </c>
      <c r="B413" s="2">
        <v>42978</v>
      </c>
      <c r="C413" t="str">
        <f>"00227227"</f>
        <v>00227227</v>
      </c>
      <c r="D413" t="s">
        <v>19</v>
      </c>
      <c r="E413">
        <v>14.55</v>
      </c>
      <c r="G413" s="1">
        <v>1484578.02</v>
      </c>
    </row>
    <row r="414" spans="1:7" x14ac:dyDescent="0.25">
      <c r="A414" s="2">
        <v>42978</v>
      </c>
      <c r="B414" s="2">
        <v>42978</v>
      </c>
      <c r="C414" t="str">
        <f>"00575085"</f>
        <v>00575085</v>
      </c>
      <c r="D414" t="s">
        <v>20</v>
      </c>
      <c r="E414">
        <v>1.45</v>
      </c>
      <c r="G414" s="1">
        <v>1484576.57</v>
      </c>
    </row>
    <row r="415" spans="1:7" x14ac:dyDescent="0.25">
      <c r="A415" s="2">
        <v>42989</v>
      </c>
      <c r="B415" s="2">
        <v>42989</v>
      </c>
      <c r="C415" t="str">
        <f>"BMLM5765401"</f>
        <v>BMLM5765401</v>
      </c>
      <c r="D415" t="s">
        <v>641</v>
      </c>
      <c r="F415" s="1">
        <v>8000</v>
      </c>
      <c r="G415" s="1">
        <v>1465741.85</v>
      </c>
    </row>
    <row r="416" spans="1:7" x14ac:dyDescent="0.25">
      <c r="A416" s="2">
        <v>42989</v>
      </c>
      <c r="B416" s="2">
        <v>42989</v>
      </c>
      <c r="C416" t="str">
        <f>"BMLM5765501"</f>
        <v>BMLM5765501</v>
      </c>
      <c r="D416" t="s">
        <v>642</v>
      </c>
      <c r="F416" s="1">
        <v>8480</v>
      </c>
      <c r="G416" s="1">
        <v>1474221.85</v>
      </c>
    </row>
    <row r="417" spans="1:7" x14ac:dyDescent="0.25">
      <c r="A417" s="2">
        <v>42989</v>
      </c>
      <c r="B417" s="2">
        <v>42989</v>
      </c>
      <c r="C417" t="str">
        <f>"BMLM5765601"</f>
        <v>BMLM5765601</v>
      </c>
      <c r="D417" t="s">
        <v>643</v>
      </c>
      <c r="F417">
        <v>358</v>
      </c>
      <c r="G417" s="1">
        <v>1474579.85</v>
      </c>
    </row>
    <row r="418" spans="1:7" x14ac:dyDescent="0.25">
      <c r="A418" s="2">
        <v>42989</v>
      </c>
      <c r="B418" s="2">
        <v>42989</v>
      </c>
      <c r="C418" t="str">
        <f>"BMLM5765701"</f>
        <v>BMLM5765701</v>
      </c>
      <c r="D418" t="s">
        <v>644</v>
      </c>
      <c r="F418" s="1">
        <v>1832</v>
      </c>
      <c r="G418" s="1">
        <v>1476411.85</v>
      </c>
    </row>
    <row r="419" spans="1:7" x14ac:dyDescent="0.25">
      <c r="A419" s="2">
        <v>42989</v>
      </c>
      <c r="B419" s="2">
        <v>42989</v>
      </c>
      <c r="C419" t="str">
        <f>"BMLM5765801"</f>
        <v>BMLM5765801</v>
      </c>
      <c r="D419" t="s">
        <v>645</v>
      </c>
      <c r="F419">
        <v>477</v>
      </c>
      <c r="G419" s="1">
        <v>1476888.85</v>
      </c>
    </row>
    <row r="420" spans="1:7" x14ac:dyDescent="0.25">
      <c r="A420" s="2">
        <v>42989</v>
      </c>
      <c r="B420" s="2">
        <v>42989</v>
      </c>
      <c r="C420" t="str">
        <f>"BMLM5765901"</f>
        <v>BMLM5765901</v>
      </c>
      <c r="D420" t="s">
        <v>646</v>
      </c>
      <c r="F420">
        <v>157</v>
      </c>
      <c r="G420" s="1">
        <v>1477045.85</v>
      </c>
    </row>
    <row r="421" spans="1:7" x14ac:dyDescent="0.25">
      <c r="A421" s="2">
        <v>42989</v>
      </c>
      <c r="B421" s="2">
        <v>42989</v>
      </c>
      <c r="C421" t="str">
        <f>"BMLM5766101"</f>
        <v>BMLM5766101</v>
      </c>
      <c r="D421" t="s">
        <v>647</v>
      </c>
      <c r="F421" s="1">
        <v>5406</v>
      </c>
      <c r="G421" s="1">
        <v>1482451.85</v>
      </c>
    </row>
    <row r="422" spans="1:7" x14ac:dyDescent="0.25">
      <c r="A422" s="2">
        <v>42989</v>
      </c>
      <c r="B422" s="2">
        <v>42989</v>
      </c>
      <c r="C422" t="str">
        <f>"BMLM5766201"</f>
        <v>BMLM5766201</v>
      </c>
      <c r="D422" t="s">
        <v>648</v>
      </c>
      <c r="F422">
        <v>285</v>
      </c>
      <c r="G422" s="1">
        <v>1482736.85</v>
      </c>
    </row>
    <row r="423" spans="1:7" x14ac:dyDescent="0.25">
      <c r="A423" s="2">
        <v>42989</v>
      </c>
      <c r="B423" s="2">
        <v>42989</v>
      </c>
      <c r="C423" t="str">
        <f>"BMLM5766301"</f>
        <v>BMLM5766301</v>
      </c>
      <c r="D423" t="s">
        <v>649</v>
      </c>
      <c r="F423">
        <v>231</v>
      </c>
      <c r="G423" s="1">
        <v>1482967.85</v>
      </c>
    </row>
    <row r="424" spans="1:7" x14ac:dyDescent="0.25">
      <c r="A424" s="2">
        <v>42989</v>
      </c>
      <c r="B424" s="2">
        <v>42989</v>
      </c>
      <c r="C424" t="str">
        <f>"BMLM5766401"</f>
        <v>BMLM5766401</v>
      </c>
      <c r="D424" t="s">
        <v>650</v>
      </c>
      <c r="F424">
        <v>156</v>
      </c>
      <c r="G424" s="1">
        <v>1483123.85</v>
      </c>
    </row>
    <row r="425" spans="1:7" x14ac:dyDescent="0.25">
      <c r="A425" s="2">
        <v>42989</v>
      </c>
      <c r="B425" s="2">
        <v>42989</v>
      </c>
      <c r="C425" t="str">
        <f>"BMLM5766501"</f>
        <v>BMLM5766501</v>
      </c>
      <c r="D425" t="s">
        <v>651</v>
      </c>
      <c r="F425" s="1">
        <v>2783</v>
      </c>
      <c r="G425" s="1">
        <v>1485906.85</v>
      </c>
    </row>
    <row r="426" spans="1:7" x14ac:dyDescent="0.25">
      <c r="A426" s="2">
        <v>42989</v>
      </c>
      <c r="B426" s="2">
        <v>42989</v>
      </c>
      <c r="C426" t="str">
        <f>"BMLM5766601"</f>
        <v>BMLM5766601</v>
      </c>
      <c r="D426" t="s">
        <v>652</v>
      </c>
      <c r="F426" s="1">
        <v>2388</v>
      </c>
      <c r="G426" s="1">
        <v>1488294.85</v>
      </c>
    </row>
    <row r="427" spans="1:7" x14ac:dyDescent="0.25">
      <c r="A427" s="2">
        <v>42989</v>
      </c>
      <c r="B427" s="2">
        <v>42989</v>
      </c>
      <c r="C427" t="str">
        <f>"BMLM5766801"</f>
        <v>BMLM5766801</v>
      </c>
      <c r="D427" t="s">
        <v>653</v>
      </c>
      <c r="F427">
        <v>45</v>
      </c>
      <c r="G427" s="1">
        <v>1488339.85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14"/>
  <sheetViews>
    <sheetView topLeftCell="C400" workbookViewId="0">
      <selection activeCell="E16" sqref="E16"/>
    </sheetView>
  </sheetViews>
  <sheetFormatPr defaultRowHeight="15" x14ac:dyDescent="0.25"/>
  <cols>
    <col min="1" max="1" width="38.85546875" bestFit="1" customWidth="1"/>
    <col min="2" max="2" width="15.42578125" bestFit="1" customWidth="1"/>
    <col min="3" max="3" width="44" bestFit="1" customWidth="1"/>
    <col min="4" max="4" width="98" bestFit="1" customWidth="1"/>
    <col min="5" max="6" width="10.140625" bestFit="1" customWidth="1"/>
    <col min="7" max="7" width="11.7109375" bestFit="1" customWidth="1"/>
  </cols>
  <sheetData>
    <row r="3" spans="1:7" x14ac:dyDescent="0.25">
      <c r="B3" t="s">
        <v>0</v>
      </c>
    </row>
    <row r="7" spans="1:7" x14ac:dyDescent="0.25">
      <c r="A7" t="s">
        <v>1</v>
      </c>
      <c r="B7">
        <v>107347</v>
      </c>
    </row>
    <row r="8" spans="1:7" x14ac:dyDescent="0.25">
      <c r="A8" t="s">
        <v>2</v>
      </c>
      <c r="B8" t="str">
        <f>"02020010734700"</f>
        <v>02020010734700</v>
      </c>
    </row>
    <row r="9" spans="1:7" x14ac:dyDescent="0.25">
      <c r="A9" t="s">
        <v>3</v>
      </c>
      <c r="B9" t="s">
        <v>4</v>
      </c>
    </row>
    <row r="10" spans="1:7" x14ac:dyDescent="0.25">
      <c r="A10" t="s">
        <v>5</v>
      </c>
      <c r="B10" s="1">
        <v>202702.23</v>
      </c>
    </row>
    <row r="11" spans="1:7" x14ac:dyDescent="0.25">
      <c r="A11" t="s">
        <v>6</v>
      </c>
      <c r="B11" s="1">
        <v>184664.23</v>
      </c>
    </row>
    <row r="14" spans="1:7" x14ac:dyDescent="0.25">
      <c r="A14" t="s">
        <v>7</v>
      </c>
    </row>
    <row r="16" spans="1:7" x14ac:dyDescent="0.25">
      <c r="A16" t="s">
        <v>8</v>
      </c>
      <c r="B16" t="s">
        <v>9</v>
      </c>
      <c r="C16" t="s">
        <v>10</v>
      </c>
      <c r="D16" t="s">
        <v>11</v>
      </c>
      <c r="E16" t="s">
        <v>12</v>
      </c>
      <c r="F16" t="s">
        <v>13</v>
      </c>
      <c r="G16" t="s">
        <v>14</v>
      </c>
    </row>
    <row r="17" spans="1:7" x14ac:dyDescent="0.25">
      <c r="A17" s="2">
        <v>42979</v>
      </c>
      <c r="B17" s="2">
        <v>42979</v>
      </c>
      <c r="C17" t="str">
        <f>"4L3EOT874N52FHI"</f>
        <v>4L3EOT874N52FHI</v>
      </c>
      <c r="D17" t="s">
        <v>15</v>
      </c>
      <c r="F17" s="1">
        <v>1156</v>
      </c>
      <c r="G17" s="1">
        <v>1484339.57</v>
      </c>
    </row>
    <row r="18" spans="1:7" x14ac:dyDescent="0.25">
      <c r="A18" s="2">
        <v>42979</v>
      </c>
      <c r="B18" s="2">
        <v>42979</v>
      </c>
      <c r="C18" t="str">
        <f>"UN936USVMQZTSVO"</f>
        <v>UN936USVMQZTSVO</v>
      </c>
      <c r="D18" t="s">
        <v>16</v>
      </c>
      <c r="F18" s="1">
        <v>13196</v>
      </c>
      <c r="G18" s="1">
        <v>1497535.57</v>
      </c>
    </row>
    <row r="19" spans="1:7" x14ac:dyDescent="0.25">
      <c r="A19" s="2">
        <v>42979</v>
      </c>
      <c r="B19" s="2">
        <v>42979</v>
      </c>
      <c r="C19" t="str">
        <f>"UN936USVMQZTSVO"</f>
        <v>UN936USVMQZTSVO</v>
      </c>
      <c r="D19" t="s">
        <v>17</v>
      </c>
      <c r="F19" s="1">
        <v>52113</v>
      </c>
      <c r="G19" s="1">
        <v>1549648.57</v>
      </c>
    </row>
    <row r="20" spans="1:7" x14ac:dyDescent="0.25">
      <c r="A20" s="2">
        <v>42979</v>
      </c>
      <c r="B20" s="2">
        <v>42979</v>
      </c>
      <c r="C20" t="str">
        <f>"OUTGOING SWIFT SW09901091755328PR-000000"</f>
        <v>OUTGOING SWIFT SW09901091755328PR-000000</v>
      </c>
      <c r="D20" t="s">
        <v>18</v>
      </c>
      <c r="E20" s="1">
        <v>16291</v>
      </c>
      <c r="G20" s="1">
        <v>1533357.57</v>
      </c>
    </row>
    <row r="21" spans="1:7" x14ac:dyDescent="0.25">
      <c r="A21" s="2">
        <v>42979</v>
      </c>
      <c r="B21" s="2">
        <v>42979</v>
      </c>
      <c r="C21" t="str">
        <f>"00227296"</f>
        <v>00227296</v>
      </c>
      <c r="D21" t="s">
        <v>19</v>
      </c>
      <c r="E21">
        <v>14.55</v>
      </c>
      <c r="G21" s="1">
        <v>1533343.02</v>
      </c>
    </row>
    <row r="22" spans="1:7" x14ac:dyDescent="0.25">
      <c r="A22" s="2">
        <v>42979</v>
      </c>
      <c r="B22" s="2">
        <v>42979</v>
      </c>
      <c r="C22" t="str">
        <f>"00575364"</f>
        <v>00575364</v>
      </c>
      <c r="D22" t="s">
        <v>20</v>
      </c>
      <c r="E22">
        <v>1.45</v>
      </c>
      <c r="G22" s="1">
        <v>1533341.57</v>
      </c>
    </row>
    <row r="23" spans="1:7" x14ac:dyDescent="0.25">
      <c r="A23" s="2">
        <v>42979</v>
      </c>
      <c r="B23" s="2">
        <v>42979</v>
      </c>
      <c r="C23" t="str">
        <f>"IBDM1919101"</f>
        <v>IBDM1919101</v>
      </c>
      <c r="D23" t="s">
        <v>21</v>
      </c>
      <c r="F23">
        <v>20</v>
      </c>
      <c r="G23" s="1">
        <v>1533361.57</v>
      </c>
    </row>
    <row r="24" spans="1:7" x14ac:dyDescent="0.25">
      <c r="A24" s="2">
        <v>42979</v>
      </c>
      <c r="B24" s="2">
        <v>42979</v>
      </c>
      <c r="C24" t="str">
        <f>"9909012017TBMA017"</f>
        <v>9909012017TBMA017</v>
      </c>
      <c r="D24" t="s">
        <v>22</v>
      </c>
      <c r="F24">
        <v>42.31</v>
      </c>
      <c r="G24" s="1">
        <v>1533403.88</v>
      </c>
    </row>
    <row r="25" spans="1:7" x14ac:dyDescent="0.25">
      <c r="A25" s="2">
        <v>42979</v>
      </c>
      <c r="B25" s="2">
        <v>42985</v>
      </c>
      <c r="C25" t="str">
        <f>"20170901101947376"</f>
        <v>20170901101947376</v>
      </c>
      <c r="D25" t="s">
        <v>23</v>
      </c>
      <c r="E25" s="1">
        <v>1393</v>
      </c>
      <c r="G25" s="1">
        <v>2347109.65</v>
      </c>
    </row>
    <row r="26" spans="1:7" x14ac:dyDescent="0.25">
      <c r="A26" s="2">
        <v>42980</v>
      </c>
      <c r="B26" s="2">
        <v>42980</v>
      </c>
      <c r="C26" t="str">
        <f>"ICCB0506601"</f>
        <v>ICCB0506601</v>
      </c>
      <c r="D26" t="s">
        <v>24</v>
      </c>
      <c r="F26">
        <v>18</v>
      </c>
      <c r="G26" s="1">
        <v>1533421.88</v>
      </c>
    </row>
    <row r="27" spans="1:7" x14ac:dyDescent="0.25">
      <c r="A27" s="2">
        <v>42981</v>
      </c>
      <c r="B27" s="2">
        <v>42981</v>
      </c>
      <c r="C27" t="str">
        <f>"IRTM0617301"</f>
        <v>IRTM0617301</v>
      </c>
      <c r="D27" t="s">
        <v>25</v>
      </c>
      <c r="F27">
        <v>25</v>
      </c>
      <c r="G27" s="1">
        <v>1533446.88</v>
      </c>
    </row>
    <row r="28" spans="1:7" x14ac:dyDescent="0.25">
      <c r="A28" s="2">
        <v>42981</v>
      </c>
      <c r="B28" s="2">
        <v>42981</v>
      </c>
      <c r="C28" t="str">
        <f>"IRTM0617401"</f>
        <v>IRTM0617401</v>
      </c>
      <c r="D28" t="s">
        <v>26</v>
      </c>
      <c r="F28">
        <v>15</v>
      </c>
      <c r="G28" s="1">
        <v>1533461.88</v>
      </c>
    </row>
    <row r="29" spans="1:7" x14ac:dyDescent="0.25">
      <c r="A29" s="2">
        <v>42981</v>
      </c>
      <c r="B29" s="2">
        <v>42981</v>
      </c>
      <c r="C29" t="str">
        <f>"IRTM0617501"</f>
        <v>IRTM0617501</v>
      </c>
      <c r="D29" t="s">
        <v>27</v>
      </c>
      <c r="F29">
        <v>25</v>
      </c>
      <c r="G29" s="1">
        <v>1533486.88</v>
      </c>
    </row>
    <row r="30" spans="1:7" x14ac:dyDescent="0.25">
      <c r="A30" s="2">
        <v>42981</v>
      </c>
      <c r="B30" s="2">
        <v>42981</v>
      </c>
      <c r="C30" t="str">
        <f>"IRTM0617601"</f>
        <v>IRTM0617601</v>
      </c>
      <c r="D30" t="s">
        <v>28</v>
      </c>
      <c r="F30">
        <v>25</v>
      </c>
      <c r="G30" s="1">
        <v>1533511.88</v>
      </c>
    </row>
    <row r="31" spans="1:7" x14ac:dyDescent="0.25">
      <c r="A31" s="2">
        <v>42981</v>
      </c>
      <c r="B31" s="2">
        <v>42981</v>
      </c>
      <c r="C31" t="str">
        <f>"IRTM0617701"</f>
        <v>IRTM0617701</v>
      </c>
      <c r="D31" t="s">
        <v>29</v>
      </c>
      <c r="F31">
        <v>23</v>
      </c>
      <c r="G31" s="1">
        <v>1533534.88</v>
      </c>
    </row>
    <row r="32" spans="1:7" x14ac:dyDescent="0.25">
      <c r="A32" s="2">
        <v>42981</v>
      </c>
      <c r="B32" s="2">
        <v>42981</v>
      </c>
      <c r="C32" t="str">
        <f>"IRTM0617801"</f>
        <v>IRTM0617801</v>
      </c>
      <c r="D32" t="s">
        <v>30</v>
      </c>
      <c r="F32">
        <v>27</v>
      </c>
      <c r="G32" s="1">
        <v>1533561.88</v>
      </c>
    </row>
    <row r="33" spans="1:7" x14ac:dyDescent="0.25">
      <c r="A33" s="2">
        <v>42981</v>
      </c>
      <c r="B33" s="2">
        <v>42981</v>
      </c>
      <c r="C33" t="str">
        <f>"IRTM0617901"</f>
        <v>IRTM0617901</v>
      </c>
      <c r="D33" t="s">
        <v>31</v>
      </c>
      <c r="F33">
        <v>18</v>
      </c>
      <c r="G33" s="1">
        <v>1533579.88</v>
      </c>
    </row>
    <row r="34" spans="1:7" x14ac:dyDescent="0.25">
      <c r="A34" s="2">
        <v>42982</v>
      </c>
      <c r="B34" s="2">
        <v>42982</v>
      </c>
      <c r="C34" t="str">
        <f>"IRTM0629301"</f>
        <v>IRTM0629301</v>
      </c>
      <c r="D34" t="s">
        <v>32</v>
      </c>
      <c r="F34">
        <v>20</v>
      </c>
      <c r="G34" s="1">
        <v>1533599.88</v>
      </c>
    </row>
    <row r="35" spans="1:7" x14ac:dyDescent="0.25">
      <c r="A35" s="2">
        <v>42982</v>
      </c>
      <c r="B35" s="2">
        <v>42982</v>
      </c>
      <c r="C35" t="str">
        <f>"5JC0CWJM9GH5652"</f>
        <v>5JC0CWJM9GH5652</v>
      </c>
      <c r="D35" t="s">
        <v>33</v>
      </c>
      <c r="F35" s="1">
        <v>6290</v>
      </c>
      <c r="G35" s="1">
        <v>1539889.88</v>
      </c>
    </row>
    <row r="36" spans="1:7" x14ac:dyDescent="0.25">
      <c r="A36" s="2">
        <v>42982</v>
      </c>
      <c r="B36" s="2">
        <v>42982</v>
      </c>
      <c r="C36" t="str">
        <f>"BJNW6913601"</f>
        <v>BJNW6913601</v>
      </c>
      <c r="D36" t="s">
        <v>34</v>
      </c>
      <c r="E36" s="1">
        <v>1000</v>
      </c>
      <c r="G36" s="1">
        <v>1538889.88</v>
      </c>
    </row>
    <row r="37" spans="1:7" x14ac:dyDescent="0.25">
      <c r="A37" s="2">
        <v>42982</v>
      </c>
      <c r="B37" s="2">
        <v>42982</v>
      </c>
      <c r="C37" t="str">
        <f>"BMLM5784301"</f>
        <v>BMLM5784301</v>
      </c>
      <c r="D37" t="s">
        <v>35</v>
      </c>
      <c r="F37">
        <v>25</v>
      </c>
      <c r="G37" s="1">
        <v>1538914.88</v>
      </c>
    </row>
    <row r="38" spans="1:7" x14ac:dyDescent="0.25">
      <c r="A38" s="2">
        <v>42982</v>
      </c>
      <c r="B38" s="2">
        <v>42982</v>
      </c>
      <c r="C38" t="str">
        <f>"BMLM5784401"</f>
        <v>BMLM5784401</v>
      </c>
      <c r="D38" t="s">
        <v>36</v>
      </c>
      <c r="F38" s="1">
        <v>1220</v>
      </c>
      <c r="G38" s="1">
        <v>1540134.88</v>
      </c>
    </row>
    <row r="39" spans="1:7" x14ac:dyDescent="0.25">
      <c r="A39" s="2">
        <v>42982</v>
      </c>
      <c r="B39" s="2">
        <v>42982</v>
      </c>
      <c r="C39" t="str">
        <f>"BMLM5784501"</f>
        <v>BMLM5784501</v>
      </c>
      <c r="D39" t="s">
        <v>36</v>
      </c>
      <c r="F39">
        <v>85</v>
      </c>
      <c r="G39" s="1">
        <v>1540219.88</v>
      </c>
    </row>
    <row r="40" spans="1:7" x14ac:dyDescent="0.25">
      <c r="A40" s="2">
        <v>42982</v>
      </c>
      <c r="B40" s="2">
        <v>42982</v>
      </c>
      <c r="C40" t="str">
        <f>"BMLM5784601"</f>
        <v>BMLM5784601</v>
      </c>
      <c r="D40" t="s">
        <v>36</v>
      </c>
      <c r="F40">
        <v>70</v>
      </c>
      <c r="G40" s="1">
        <v>1540289.88</v>
      </c>
    </row>
    <row r="41" spans="1:7" x14ac:dyDescent="0.25">
      <c r="A41" s="2">
        <v>42982</v>
      </c>
      <c r="B41" s="2">
        <v>42982</v>
      </c>
      <c r="C41" t="str">
        <f>"BMLM5784701"</f>
        <v>BMLM5784701</v>
      </c>
      <c r="D41" t="s">
        <v>36</v>
      </c>
      <c r="F41" s="1">
        <v>1240</v>
      </c>
      <c r="G41" s="1">
        <v>1541529.88</v>
      </c>
    </row>
    <row r="42" spans="1:7" x14ac:dyDescent="0.25">
      <c r="A42" s="2">
        <v>42982</v>
      </c>
      <c r="B42" s="2">
        <v>42982</v>
      </c>
      <c r="C42" t="str">
        <f>"TOUDFOSBO1VNRXR"</f>
        <v>TOUDFOSBO1VNRXR</v>
      </c>
      <c r="D42" t="s">
        <v>37</v>
      </c>
      <c r="F42" s="1">
        <v>5856</v>
      </c>
      <c r="G42" s="1">
        <v>1547385.88</v>
      </c>
    </row>
    <row r="43" spans="1:7" x14ac:dyDescent="0.25">
      <c r="A43" s="2">
        <v>42982</v>
      </c>
      <c r="B43" s="2">
        <v>42982</v>
      </c>
      <c r="C43" t="str">
        <f>"TOUDFOSBO1VNRXR"</f>
        <v>TOUDFOSBO1VNRXR</v>
      </c>
      <c r="D43" t="s">
        <v>38</v>
      </c>
      <c r="F43" s="1">
        <v>33061</v>
      </c>
      <c r="G43" s="1">
        <v>1580446.88</v>
      </c>
    </row>
    <row r="44" spans="1:7" x14ac:dyDescent="0.25">
      <c r="A44" s="2">
        <v>42982</v>
      </c>
      <c r="B44" s="2">
        <v>42982</v>
      </c>
      <c r="C44" t="str">
        <f>"SW09904091756102 OUTGOING RTGSPR-0000000"</f>
        <v>SW09904091756102 OUTGOING RTGSPR-0000000</v>
      </c>
      <c r="D44" t="s">
        <v>39</v>
      </c>
      <c r="E44">
        <v>612</v>
      </c>
      <c r="G44" s="1">
        <v>1579834.88</v>
      </c>
    </row>
    <row r="45" spans="1:7" x14ac:dyDescent="0.25">
      <c r="A45" s="2">
        <v>42982</v>
      </c>
      <c r="B45" s="2">
        <v>42982</v>
      </c>
      <c r="C45" t="str">
        <f>"00227783"</f>
        <v>00227783</v>
      </c>
      <c r="D45" t="s">
        <v>19</v>
      </c>
      <c r="E45">
        <v>14.55</v>
      </c>
      <c r="G45" s="1">
        <v>1579820.33</v>
      </c>
    </row>
    <row r="46" spans="1:7" x14ac:dyDescent="0.25">
      <c r="A46" s="2">
        <v>42982</v>
      </c>
      <c r="B46" s="2">
        <v>42982</v>
      </c>
      <c r="C46" t="str">
        <f>"00576512"</f>
        <v>00576512</v>
      </c>
      <c r="D46" t="s">
        <v>20</v>
      </c>
      <c r="E46">
        <v>1.45</v>
      </c>
      <c r="G46" s="1">
        <v>1579818.88</v>
      </c>
    </row>
    <row r="47" spans="1:7" x14ac:dyDescent="0.25">
      <c r="A47" s="2">
        <v>42983</v>
      </c>
      <c r="B47" s="2">
        <v>42983</v>
      </c>
      <c r="C47" t="str">
        <f>"ICCB0536301"</f>
        <v>ICCB0536301</v>
      </c>
      <c r="D47" t="s">
        <v>40</v>
      </c>
      <c r="F47">
        <v>50</v>
      </c>
      <c r="G47" s="1">
        <v>1579868.88</v>
      </c>
    </row>
    <row r="48" spans="1:7" x14ac:dyDescent="0.25">
      <c r="A48" s="2">
        <v>42983</v>
      </c>
      <c r="B48" s="2">
        <v>42983</v>
      </c>
      <c r="C48" t="str">
        <f>"ICCB0536401"</f>
        <v>ICCB0536401</v>
      </c>
      <c r="D48" t="s">
        <v>41</v>
      </c>
      <c r="F48">
        <v>23</v>
      </c>
      <c r="G48" s="1">
        <v>1579891.88</v>
      </c>
    </row>
    <row r="49" spans="1:7" x14ac:dyDescent="0.25">
      <c r="A49" s="2">
        <v>42983</v>
      </c>
      <c r="B49" s="2">
        <v>42983</v>
      </c>
      <c r="C49" t="str">
        <f>"ICCB0536501"</f>
        <v>ICCB0536501</v>
      </c>
      <c r="D49" t="s">
        <v>42</v>
      </c>
      <c r="F49">
        <v>23</v>
      </c>
      <c r="G49" s="1">
        <v>1579914.88</v>
      </c>
    </row>
    <row r="50" spans="1:7" x14ac:dyDescent="0.25">
      <c r="A50" s="2">
        <v>42983</v>
      </c>
      <c r="B50" s="2">
        <v>42983</v>
      </c>
      <c r="C50" t="str">
        <f>"20170905093613821"</f>
        <v>20170905093613821</v>
      </c>
      <c r="D50" t="s">
        <v>43</v>
      </c>
      <c r="E50" s="1">
        <v>7339.05</v>
      </c>
      <c r="G50" s="1">
        <v>1572575.83</v>
      </c>
    </row>
    <row r="51" spans="1:7" x14ac:dyDescent="0.25">
      <c r="A51" s="2">
        <v>42983</v>
      </c>
      <c r="B51" s="2">
        <v>42983</v>
      </c>
      <c r="C51" t="str">
        <f>"20170905093613821"</f>
        <v>20170905093613821</v>
      </c>
      <c r="D51" t="s">
        <v>44</v>
      </c>
      <c r="E51">
        <v>360</v>
      </c>
      <c r="G51" s="1">
        <v>1572215.83</v>
      </c>
    </row>
    <row r="52" spans="1:7" x14ac:dyDescent="0.25">
      <c r="A52" s="2">
        <v>42983</v>
      </c>
      <c r="B52" s="2">
        <v>42983</v>
      </c>
      <c r="C52" t="str">
        <f>"PSLEA6Q1KYDZUIP"</f>
        <v>PSLEA6Q1KYDZUIP</v>
      </c>
      <c r="D52" t="s">
        <v>45</v>
      </c>
      <c r="F52" s="1">
        <v>1156</v>
      </c>
      <c r="G52" s="1">
        <v>1573371.83</v>
      </c>
    </row>
    <row r="53" spans="1:7" x14ac:dyDescent="0.25">
      <c r="A53" s="2">
        <v>42983</v>
      </c>
      <c r="B53" s="2">
        <v>42983</v>
      </c>
      <c r="C53" t="str">
        <f>"PSLEA6Q1KYDZUIP"</f>
        <v>PSLEA6Q1KYDZUIP</v>
      </c>
      <c r="D53" t="s">
        <v>46</v>
      </c>
      <c r="F53" s="1">
        <v>4210</v>
      </c>
      <c r="G53" s="1">
        <v>1577581.83</v>
      </c>
    </row>
    <row r="54" spans="1:7" x14ac:dyDescent="0.25">
      <c r="A54" s="2">
        <v>42983</v>
      </c>
      <c r="B54" s="2">
        <v>42983</v>
      </c>
      <c r="C54" t="str">
        <f>"PSLEA6Q1KYDZUIP"</f>
        <v>PSLEA6Q1KYDZUIP</v>
      </c>
      <c r="D54" t="s">
        <v>47</v>
      </c>
      <c r="F54" s="1">
        <v>28710</v>
      </c>
      <c r="G54" s="1">
        <v>1606291.83</v>
      </c>
    </row>
    <row r="55" spans="1:7" x14ac:dyDescent="0.25">
      <c r="A55" s="2">
        <v>42983</v>
      </c>
      <c r="B55" s="2">
        <v>42983</v>
      </c>
      <c r="C55" t="str">
        <f>"XONEHD29UVA2YBQ"</f>
        <v>XONEHD29UVA2YBQ</v>
      </c>
      <c r="D55" t="s">
        <v>48</v>
      </c>
      <c r="F55">
        <v>421.4</v>
      </c>
      <c r="G55" s="1">
        <v>1606713.23</v>
      </c>
    </row>
    <row r="56" spans="1:7" x14ac:dyDescent="0.25">
      <c r="A56" s="2">
        <v>42983</v>
      </c>
      <c r="B56" s="2">
        <v>42983</v>
      </c>
      <c r="C56" t="str">
        <f>"BMLM5795201"</f>
        <v>BMLM5795201</v>
      </c>
      <c r="D56" t="s">
        <v>36</v>
      </c>
      <c r="F56">
        <v>15</v>
      </c>
      <c r="G56" s="1">
        <v>1610364.23</v>
      </c>
    </row>
    <row r="57" spans="1:7" x14ac:dyDescent="0.25">
      <c r="A57" s="2">
        <v>42983</v>
      </c>
      <c r="B57" s="2">
        <v>42983</v>
      </c>
      <c r="C57" t="str">
        <f>"9909052017TBMA030"</f>
        <v>9909052017TBMA030</v>
      </c>
      <c r="D57" t="s">
        <v>49</v>
      </c>
      <c r="F57" s="1">
        <v>2185</v>
      </c>
      <c r="G57" s="1">
        <v>1612549.23</v>
      </c>
    </row>
    <row r="58" spans="1:7" x14ac:dyDescent="0.25">
      <c r="A58" s="2">
        <v>42984</v>
      </c>
      <c r="B58" s="2">
        <v>42984</v>
      </c>
      <c r="C58" t="str">
        <f>"IRTM0636501"</f>
        <v>IRTM0636501</v>
      </c>
      <c r="D58" t="s">
        <v>32</v>
      </c>
      <c r="F58">
        <v>3</v>
      </c>
      <c r="G58" s="1">
        <v>1612552.23</v>
      </c>
    </row>
    <row r="59" spans="1:7" x14ac:dyDescent="0.25">
      <c r="A59" s="2">
        <v>42984</v>
      </c>
      <c r="B59" s="2">
        <v>42984</v>
      </c>
      <c r="C59" t="str">
        <f>"KEE0G1BI8XHY33D"</f>
        <v>KEE0G1BI8XHY33D</v>
      </c>
      <c r="D59" t="s">
        <v>50</v>
      </c>
      <c r="F59" s="1">
        <v>9506</v>
      </c>
      <c r="G59" s="1">
        <v>1622058.23</v>
      </c>
    </row>
    <row r="60" spans="1:7" x14ac:dyDescent="0.25">
      <c r="A60" s="2">
        <v>42984</v>
      </c>
      <c r="B60" s="2">
        <v>42984</v>
      </c>
      <c r="C60" t="str">
        <f>"2QDO5XFYM81ZEZC"</f>
        <v>2QDO5XFYM81ZEZC</v>
      </c>
      <c r="D60" t="s">
        <v>51</v>
      </c>
      <c r="E60">
        <v>10</v>
      </c>
      <c r="G60" s="1">
        <v>1622048.23</v>
      </c>
    </row>
    <row r="61" spans="1:7" x14ac:dyDescent="0.25">
      <c r="A61" s="2">
        <v>42984</v>
      </c>
      <c r="B61" s="2">
        <v>42984</v>
      </c>
      <c r="C61" t="str">
        <f>"670WFS0FLX8ULEN"</f>
        <v>670WFS0FLX8ULEN</v>
      </c>
      <c r="D61" t="s">
        <v>52</v>
      </c>
      <c r="F61" s="1">
        <v>6834</v>
      </c>
      <c r="G61" s="1">
        <v>1628882.23</v>
      </c>
    </row>
    <row r="62" spans="1:7" x14ac:dyDescent="0.25">
      <c r="A62" s="2">
        <v>42984</v>
      </c>
      <c r="B62" s="2">
        <v>42984</v>
      </c>
      <c r="C62" t="str">
        <f>"670WFS0FLX8ULEN"</f>
        <v>670WFS0FLX8ULEN</v>
      </c>
      <c r="D62" t="s">
        <v>53</v>
      </c>
      <c r="F62" s="1">
        <v>700000</v>
      </c>
      <c r="G62" s="1">
        <v>2328882.23</v>
      </c>
    </row>
    <row r="63" spans="1:7" x14ac:dyDescent="0.25">
      <c r="A63" s="2">
        <v>42984</v>
      </c>
      <c r="B63" s="2">
        <v>42984</v>
      </c>
      <c r="C63" t="str">
        <f>"6QY4Y05LS84RPOH"</f>
        <v>6QY4Y05LS84RPOH</v>
      </c>
      <c r="D63" t="s">
        <v>54</v>
      </c>
      <c r="E63">
        <v>10</v>
      </c>
      <c r="G63" s="1">
        <v>2328872.23</v>
      </c>
    </row>
    <row r="64" spans="1:7" x14ac:dyDescent="0.25">
      <c r="A64" s="2">
        <v>42984</v>
      </c>
      <c r="B64" s="2">
        <v>42984</v>
      </c>
      <c r="C64" t="str">
        <f>"IRTM0639601"</f>
        <v>IRTM0639601</v>
      </c>
      <c r="D64" t="s">
        <v>32</v>
      </c>
      <c r="F64">
        <v>23</v>
      </c>
      <c r="G64" s="1">
        <v>2328895.23</v>
      </c>
    </row>
    <row r="65" spans="1:7" x14ac:dyDescent="0.25">
      <c r="A65" s="2">
        <v>42984</v>
      </c>
      <c r="B65" s="2">
        <v>42984</v>
      </c>
      <c r="C65" t="str">
        <f>"BKNN1915602"</f>
        <v>BKNN1915602</v>
      </c>
      <c r="D65" t="s">
        <v>55</v>
      </c>
      <c r="F65" s="1">
        <v>3146</v>
      </c>
      <c r="G65" s="1">
        <v>2332041.23</v>
      </c>
    </row>
    <row r="66" spans="1:7" x14ac:dyDescent="0.25">
      <c r="A66" s="2">
        <v>42984</v>
      </c>
      <c r="B66" s="2">
        <v>42984</v>
      </c>
      <c r="C66" t="str">
        <f>"5RD7HCK7A4KV4UF"</f>
        <v>5RD7HCK7A4KV4UF</v>
      </c>
      <c r="D66" t="s">
        <v>56</v>
      </c>
      <c r="F66">
        <v>444.92</v>
      </c>
      <c r="G66" s="1">
        <v>2332486.15</v>
      </c>
    </row>
    <row r="67" spans="1:7" x14ac:dyDescent="0.25">
      <c r="A67" s="2">
        <v>42984</v>
      </c>
      <c r="B67" s="2">
        <v>42984</v>
      </c>
      <c r="C67" t="str">
        <f>"5RD7HCK7A4KV4UF"</f>
        <v>5RD7HCK7A4KV4UF</v>
      </c>
      <c r="D67" t="s">
        <v>57</v>
      </c>
      <c r="F67">
        <v>766</v>
      </c>
      <c r="G67" s="1">
        <v>2333252.15</v>
      </c>
    </row>
    <row r="68" spans="1:7" x14ac:dyDescent="0.25">
      <c r="A68" s="2">
        <v>42984</v>
      </c>
      <c r="B68" s="2">
        <v>42984</v>
      </c>
      <c r="C68" t="str">
        <f>"5RD7HCK7A4KV4UF"</f>
        <v>5RD7HCK7A4KV4UF</v>
      </c>
      <c r="D68" t="s">
        <v>58</v>
      </c>
      <c r="F68" s="1">
        <v>3341</v>
      </c>
      <c r="G68" s="1">
        <v>2336593.15</v>
      </c>
    </row>
    <row r="69" spans="1:7" x14ac:dyDescent="0.25">
      <c r="A69" s="2">
        <v>42984</v>
      </c>
      <c r="B69" s="2">
        <v>42984</v>
      </c>
      <c r="C69" t="str">
        <f>"5RD7HCK7A4KV4UF"</f>
        <v>5RD7HCK7A4KV4UF</v>
      </c>
      <c r="D69" t="s">
        <v>59</v>
      </c>
      <c r="F69" s="1">
        <v>10357</v>
      </c>
      <c r="G69" s="1">
        <v>2346950.15</v>
      </c>
    </row>
    <row r="70" spans="1:7" x14ac:dyDescent="0.25">
      <c r="A70" s="2">
        <v>42984</v>
      </c>
      <c r="B70" s="2">
        <v>42984</v>
      </c>
      <c r="C70" t="str">
        <f>"9909062017TBMA019"</f>
        <v>9909062017TBMA019</v>
      </c>
      <c r="D70" t="s">
        <v>60</v>
      </c>
      <c r="E70">
        <v>0.5</v>
      </c>
      <c r="G70" s="1">
        <v>2346949.65</v>
      </c>
    </row>
    <row r="71" spans="1:7" x14ac:dyDescent="0.25">
      <c r="A71" s="2">
        <v>42984</v>
      </c>
      <c r="B71" s="2">
        <v>42984</v>
      </c>
      <c r="C71" t="str">
        <f>"9909062017TBMA019"</f>
        <v>9909062017TBMA019</v>
      </c>
      <c r="D71" t="s">
        <v>61</v>
      </c>
      <c r="F71">
        <v>165</v>
      </c>
      <c r="G71" s="1">
        <v>2347114.65</v>
      </c>
    </row>
    <row r="72" spans="1:7" x14ac:dyDescent="0.25">
      <c r="A72" s="2">
        <v>42984</v>
      </c>
      <c r="B72" s="2">
        <v>42984</v>
      </c>
      <c r="C72" t="str">
        <f>"9909062017TBMA019"</f>
        <v>9909062017TBMA019</v>
      </c>
      <c r="D72" t="s">
        <v>61</v>
      </c>
      <c r="E72">
        <v>5</v>
      </c>
      <c r="G72" s="1">
        <v>2347109.65</v>
      </c>
    </row>
    <row r="73" spans="1:7" x14ac:dyDescent="0.25">
      <c r="A73" s="2">
        <v>42985</v>
      </c>
      <c r="B73" s="2">
        <v>42985</v>
      </c>
      <c r="C73" t="str">
        <f>"9909072017TBMA000"</f>
        <v>9909072017TBMA000</v>
      </c>
      <c r="D73" t="s">
        <v>62</v>
      </c>
      <c r="E73">
        <v>1</v>
      </c>
      <c r="G73" s="1">
        <v>2347108.65</v>
      </c>
    </row>
    <row r="74" spans="1:7" x14ac:dyDescent="0.25">
      <c r="A74" s="2">
        <v>42985</v>
      </c>
      <c r="B74" s="2">
        <v>42985</v>
      </c>
      <c r="C74" t="str">
        <f>"9909072017TBMA000"</f>
        <v>9909072017TBMA000</v>
      </c>
      <c r="D74" t="s">
        <v>63</v>
      </c>
      <c r="E74">
        <v>1</v>
      </c>
      <c r="G74" s="1">
        <v>2347107.65</v>
      </c>
    </row>
    <row r="75" spans="1:7" x14ac:dyDescent="0.25">
      <c r="A75" s="2">
        <v>42985</v>
      </c>
      <c r="B75" s="2">
        <v>42985</v>
      </c>
      <c r="C75" t="str">
        <f>"EEWG0329701"</f>
        <v>EEWG0329701</v>
      </c>
      <c r="D75" t="s">
        <v>64</v>
      </c>
      <c r="E75" s="1">
        <v>12290</v>
      </c>
      <c r="G75" s="1">
        <v>2334817.65</v>
      </c>
    </row>
    <row r="76" spans="1:7" x14ac:dyDescent="0.25">
      <c r="A76" s="2">
        <v>42985</v>
      </c>
      <c r="B76" s="2">
        <v>42985</v>
      </c>
      <c r="C76" t="str">
        <f>"EEWG0329801"</f>
        <v>EEWG0329801</v>
      </c>
      <c r="D76" t="s">
        <v>65</v>
      </c>
      <c r="E76" s="1">
        <v>10500</v>
      </c>
      <c r="G76" s="1">
        <v>2324317.65</v>
      </c>
    </row>
    <row r="77" spans="1:7" x14ac:dyDescent="0.25">
      <c r="A77" s="2">
        <v>42985</v>
      </c>
      <c r="B77" s="2">
        <v>42985</v>
      </c>
      <c r="C77" t="str">
        <f t="shared" ref="C77:C84" si="0">"20170907103938032"</f>
        <v>20170907103938032</v>
      </c>
      <c r="D77" t="s">
        <v>66</v>
      </c>
      <c r="E77" s="1">
        <v>14666.1</v>
      </c>
      <c r="G77" s="1">
        <v>2309651.5499999998</v>
      </c>
    </row>
    <row r="78" spans="1:7" x14ac:dyDescent="0.25">
      <c r="A78" s="2">
        <v>42985</v>
      </c>
      <c r="B78" s="2">
        <v>42985</v>
      </c>
      <c r="C78" t="str">
        <f t="shared" si="0"/>
        <v>20170907103938032</v>
      </c>
      <c r="D78" t="s">
        <v>67</v>
      </c>
      <c r="E78" s="1">
        <v>3097</v>
      </c>
      <c r="G78" s="1">
        <v>2306554.5499999998</v>
      </c>
    </row>
    <row r="79" spans="1:7" x14ac:dyDescent="0.25">
      <c r="A79" s="2">
        <v>42985</v>
      </c>
      <c r="B79" s="2">
        <v>42985</v>
      </c>
      <c r="C79" t="str">
        <f t="shared" si="0"/>
        <v>20170907103938032</v>
      </c>
      <c r="D79" t="s">
        <v>68</v>
      </c>
      <c r="E79" s="1">
        <v>2756</v>
      </c>
      <c r="G79" s="1">
        <v>2303798.5499999998</v>
      </c>
    </row>
    <row r="80" spans="1:7" x14ac:dyDescent="0.25">
      <c r="A80" s="2">
        <v>42985</v>
      </c>
      <c r="B80" s="2">
        <v>42985</v>
      </c>
      <c r="C80" t="str">
        <f t="shared" si="0"/>
        <v>20170907103938032</v>
      </c>
      <c r="D80" t="s">
        <v>69</v>
      </c>
      <c r="E80">
        <v>998</v>
      </c>
      <c r="G80" s="1">
        <v>2302800.5499999998</v>
      </c>
    </row>
    <row r="81" spans="1:7" x14ac:dyDescent="0.25">
      <c r="A81" s="2">
        <v>42985</v>
      </c>
      <c r="B81" s="2">
        <v>42985</v>
      </c>
      <c r="C81" t="str">
        <f t="shared" si="0"/>
        <v>20170907103938032</v>
      </c>
      <c r="D81" t="s">
        <v>70</v>
      </c>
      <c r="E81">
        <v>803</v>
      </c>
      <c r="G81" s="1">
        <v>2301997.5499999998</v>
      </c>
    </row>
    <row r="82" spans="1:7" x14ac:dyDescent="0.25">
      <c r="A82" s="2">
        <v>42985</v>
      </c>
      <c r="B82" s="2">
        <v>42985</v>
      </c>
      <c r="C82" t="str">
        <f t="shared" si="0"/>
        <v>20170907103938032</v>
      </c>
      <c r="D82" t="s">
        <v>71</v>
      </c>
      <c r="E82">
        <v>543</v>
      </c>
      <c r="G82" s="1">
        <v>2301454.5499999998</v>
      </c>
    </row>
    <row r="83" spans="1:7" x14ac:dyDescent="0.25">
      <c r="A83" s="2">
        <v>42985</v>
      </c>
      <c r="B83" s="2">
        <v>42985</v>
      </c>
      <c r="C83" t="str">
        <f t="shared" si="0"/>
        <v>20170907103938032</v>
      </c>
      <c r="D83" t="s">
        <v>72</v>
      </c>
      <c r="E83">
        <v>466</v>
      </c>
      <c r="G83" s="1">
        <v>2300988.5499999998</v>
      </c>
    </row>
    <row r="84" spans="1:7" x14ac:dyDescent="0.25">
      <c r="A84" s="2">
        <v>42985</v>
      </c>
      <c r="B84" s="2">
        <v>42985</v>
      </c>
      <c r="C84" t="str">
        <f t="shared" si="0"/>
        <v>20170907103938032</v>
      </c>
      <c r="D84" t="s">
        <v>73</v>
      </c>
      <c r="E84">
        <v>349</v>
      </c>
      <c r="G84" s="1">
        <v>2300639.5499999998</v>
      </c>
    </row>
    <row r="85" spans="1:7" x14ac:dyDescent="0.25">
      <c r="A85" s="2">
        <v>42985</v>
      </c>
      <c r="B85" s="2">
        <v>42985</v>
      </c>
      <c r="C85" t="str">
        <f t="shared" ref="C85:C90" si="1">"5J36R0N4MU2KTL5"</f>
        <v>5J36R0N4MU2KTL5</v>
      </c>
      <c r="D85" t="s">
        <v>74</v>
      </c>
      <c r="F85" s="1">
        <v>1485</v>
      </c>
      <c r="G85" s="1">
        <v>2302124.5499999998</v>
      </c>
    </row>
    <row r="86" spans="1:7" x14ac:dyDescent="0.25">
      <c r="A86" s="2">
        <v>42985</v>
      </c>
      <c r="B86" s="2">
        <v>42985</v>
      </c>
      <c r="C86" t="str">
        <f t="shared" si="1"/>
        <v>5J36R0N4MU2KTL5</v>
      </c>
      <c r="D86" t="s">
        <v>75</v>
      </c>
      <c r="F86" s="1">
        <v>1999</v>
      </c>
      <c r="G86" s="1">
        <v>2304123.5499999998</v>
      </c>
    </row>
    <row r="87" spans="1:7" x14ac:dyDescent="0.25">
      <c r="A87" s="2">
        <v>42985</v>
      </c>
      <c r="B87" s="2">
        <v>42985</v>
      </c>
      <c r="C87" t="str">
        <f t="shared" si="1"/>
        <v>5J36R0N4MU2KTL5</v>
      </c>
      <c r="D87" t="s">
        <v>76</v>
      </c>
      <c r="F87" s="1">
        <v>3255</v>
      </c>
      <c r="G87" s="1">
        <v>2307378.5499999998</v>
      </c>
    </row>
    <row r="88" spans="1:7" x14ac:dyDescent="0.25">
      <c r="A88" s="2">
        <v>42985</v>
      </c>
      <c r="B88" s="2">
        <v>42985</v>
      </c>
      <c r="C88" t="str">
        <f t="shared" si="1"/>
        <v>5J36R0N4MU2KTL5</v>
      </c>
      <c r="D88" t="s">
        <v>77</v>
      </c>
      <c r="F88" s="1">
        <v>6241</v>
      </c>
      <c r="G88" s="1">
        <v>2313619.5499999998</v>
      </c>
    </row>
    <row r="89" spans="1:7" x14ac:dyDescent="0.25">
      <c r="A89" s="2">
        <v>42985</v>
      </c>
      <c r="B89" s="2">
        <v>42985</v>
      </c>
      <c r="C89" t="str">
        <f t="shared" si="1"/>
        <v>5J36R0N4MU2KTL5</v>
      </c>
      <c r="D89" t="s">
        <v>78</v>
      </c>
      <c r="F89" s="1">
        <v>7021</v>
      </c>
      <c r="G89" s="1">
        <v>2320640.5499999998</v>
      </c>
    </row>
    <row r="90" spans="1:7" x14ac:dyDescent="0.25">
      <c r="A90" s="2">
        <v>42985</v>
      </c>
      <c r="B90" s="2">
        <v>42985</v>
      </c>
      <c r="C90" t="str">
        <f t="shared" si="1"/>
        <v>5J36R0N4MU2KTL5</v>
      </c>
      <c r="D90" t="s">
        <v>79</v>
      </c>
      <c r="F90" s="1">
        <v>12655</v>
      </c>
      <c r="G90" s="1">
        <v>2333295.5499999998</v>
      </c>
    </row>
    <row r="91" spans="1:7" x14ac:dyDescent="0.25">
      <c r="A91" s="2">
        <v>42985</v>
      </c>
      <c r="B91" s="2">
        <v>42985</v>
      </c>
      <c r="C91" t="str">
        <f>"FR2Q8RXKZ5Z48XO"</f>
        <v>FR2Q8RXKZ5Z48XO</v>
      </c>
      <c r="D91" t="s">
        <v>80</v>
      </c>
      <c r="F91" s="1">
        <v>22913</v>
      </c>
      <c r="G91" s="1">
        <v>2356208.5499999998</v>
      </c>
    </row>
    <row r="92" spans="1:7" x14ac:dyDescent="0.25">
      <c r="A92" s="2">
        <v>42985</v>
      </c>
      <c r="B92" s="2">
        <v>42985</v>
      </c>
      <c r="C92" t="str">
        <f>"KM8MOOEIZKVPDNH"</f>
        <v>KM8MOOEIZKVPDNH</v>
      </c>
      <c r="D92" t="s">
        <v>81</v>
      </c>
      <c r="E92">
        <v>10</v>
      </c>
      <c r="G92" s="1">
        <v>2356198.5499999998</v>
      </c>
    </row>
    <row r="93" spans="1:7" x14ac:dyDescent="0.25">
      <c r="A93" s="2">
        <v>42985</v>
      </c>
      <c r="B93" s="2">
        <v>42985</v>
      </c>
      <c r="C93" t="str">
        <f>"KM8MOOEIZKVPDNH"</f>
        <v>KM8MOOEIZKVPDNH</v>
      </c>
      <c r="D93" t="s">
        <v>82</v>
      </c>
      <c r="E93">
        <v>10</v>
      </c>
      <c r="G93" s="1">
        <v>2356188.5499999998</v>
      </c>
    </row>
    <row r="94" spans="1:7" x14ac:dyDescent="0.25">
      <c r="A94" s="2">
        <v>42985</v>
      </c>
      <c r="B94" s="2">
        <v>42985</v>
      </c>
      <c r="C94" t="str">
        <f>"BSAO8779601"</f>
        <v>BSAO8779601</v>
      </c>
      <c r="D94" t="s">
        <v>83</v>
      </c>
      <c r="E94" s="1">
        <v>1982</v>
      </c>
      <c r="G94" s="1">
        <v>2354206.5499999998</v>
      </c>
    </row>
    <row r="95" spans="1:7" x14ac:dyDescent="0.25">
      <c r="A95" s="2">
        <v>42985</v>
      </c>
      <c r="B95" s="2">
        <v>42985</v>
      </c>
      <c r="C95" t="str">
        <f>"ILLW0666301"</f>
        <v>ILLW0666301</v>
      </c>
      <c r="D95" t="s">
        <v>84</v>
      </c>
      <c r="F95">
        <v>15</v>
      </c>
      <c r="G95" s="1">
        <v>2354221.5499999998</v>
      </c>
    </row>
    <row r="96" spans="1:7" x14ac:dyDescent="0.25">
      <c r="A96" s="2">
        <v>42985</v>
      </c>
      <c r="B96" s="2">
        <v>42985</v>
      </c>
      <c r="C96" t="str">
        <f>"ILLW0666401"</f>
        <v>ILLW0666401</v>
      </c>
      <c r="D96" t="s">
        <v>85</v>
      </c>
      <c r="F96">
        <v>20</v>
      </c>
      <c r="G96" s="1">
        <v>2354241.5499999998</v>
      </c>
    </row>
    <row r="97" spans="1:7" x14ac:dyDescent="0.25">
      <c r="A97" s="2">
        <v>42985</v>
      </c>
      <c r="B97" s="2">
        <v>42985</v>
      </c>
      <c r="C97" t="str">
        <f>"ILLW0666501"</f>
        <v>ILLW0666501</v>
      </c>
      <c r="D97" t="s">
        <v>86</v>
      </c>
      <c r="F97">
        <v>20</v>
      </c>
      <c r="G97" s="1">
        <v>2354261.5499999998</v>
      </c>
    </row>
    <row r="98" spans="1:7" x14ac:dyDescent="0.25">
      <c r="A98" s="2">
        <v>42985</v>
      </c>
      <c r="B98" s="2">
        <v>42985</v>
      </c>
      <c r="C98" t="str">
        <f>"7RF5HHRCUYC28YB"</f>
        <v>7RF5HHRCUYC28YB</v>
      </c>
      <c r="D98" t="s">
        <v>87</v>
      </c>
      <c r="F98">
        <v>114.66</v>
      </c>
      <c r="G98" s="1">
        <v>2354376.21</v>
      </c>
    </row>
    <row r="99" spans="1:7" x14ac:dyDescent="0.25">
      <c r="A99" s="2">
        <v>42985</v>
      </c>
      <c r="B99" s="2">
        <v>42985</v>
      </c>
      <c r="C99" t="str">
        <f>"7RF5HHRCUYC28YB"</f>
        <v>7RF5HHRCUYC28YB</v>
      </c>
      <c r="D99" t="s">
        <v>88</v>
      </c>
      <c r="F99" s="1">
        <v>1590</v>
      </c>
      <c r="G99" s="1">
        <v>2355966.21</v>
      </c>
    </row>
    <row r="100" spans="1:7" x14ac:dyDescent="0.25">
      <c r="A100" s="2">
        <v>42985</v>
      </c>
      <c r="B100" s="2">
        <v>42985</v>
      </c>
      <c r="C100" t="str">
        <f>"7RF5HHRCUYC28YB"</f>
        <v>7RF5HHRCUYC28YB</v>
      </c>
      <c r="D100" t="s">
        <v>89</v>
      </c>
      <c r="F100" s="1">
        <v>2010</v>
      </c>
      <c r="G100" s="1">
        <v>2357976.21</v>
      </c>
    </row>
    <row r="101" spans="1:7" x14ac:dyDescent="0.25">
      <c r="A101" s="2">
        <v>42985</v>
      </c>
      <c r="B101" s="2">
        <v>42985</v>
      </c>
      <c r="C101" t="str">
        <f>"7RF5HHRCUYC28YB"</f>
        <v>7RF5HHRCUYC28YB</v>
      </c>
      <c r="D101" t="s">
        <v>90</v>
      </c>
      <c r="F101" s="1">
        <v>2725</v>
      </c>
      <c r="G101" s="1">
        <v>2360701.21</v>
      </c>
    </row>
    <row r="102" spans="1:7" x14ac:dyDescent="0.25">
      <c r="A102" s="2">
        <v>42985</v>
      </c>
      <c r="B102" s="2">
        <v>42985</v>
      </c>
      <c r="C102" t="str">
        <f>"7RF5HHRCUYC28YB"</f>
        <v>7RF5HHRCUYC28YB</v>
      </c>
      <c r="D102" t="s">
        <v>91</v>
      </c>
      <c r="F102" s="1">
        <v>73461</v>
      </c>
      <c r="G102" s="1">
        <v>2434162.21</v>
      </c>
    </row>
    <row r="103" spans="1:7" x14ac:dyDescent="0.25">
      <c r="A103" s="2">
        <v>42985</v>
      </c>
      <c r="B103" s="2">
        <v>42985</v>
      </c>
      <c r="C103" t="str">
        <f>"BSAO8783201"</f>
        <v>BSAO8783201</v>
      </c>
      <c r="D103" t="s">
        <v>92</v>
      </c>
      <c r="F103" s="1">
        <v>2568</v>
      </c>
      <c r="G103" s="1">
        <v>2436730.21</v>
      </c>
    </row>
    <row r="104" spans="1:7" x14ac:dyDescent="0.25">
      <c r="A104" s="2">
        <v>42985</v>
      </c>
      <c r="B104" s="2">
        <v>42985</v>
      </c>
      <c r="C104" t="str">
        <f>"BSAO8783301"</f>
        <v>BSAO8783301</v>
      </c>
      <c r="D104" t="s">
        <v>92</v>
      </c>
      <c r="F104">
        <v>274</v>
      </c>
      <c r="G104" s="1">
        <v>2437004.21</v>
      </c>
    </row>
    <row r="105" spans="1:7" x14ac:dyDescent="0.25">
      <c r="A105" s="2">
        <v>42985</v>
      </c>
      <c r="B105" s="2">
        <v>42985</v>
      </c>
      <c r="C105" t="str">
        <f>"BSAO8783401"</f>
        <v>BSAO8783401</v>
      </c>
      <c r="D105" t="s">
        <v>92</v>
      </c>
      <c r="F105">
        <v>451</v>
      </c>
      <c r="G105" s="1">
        <v>2437455.21</v>
      </c>
    </row>
    <row r="106" spans="1:7" x14ac:dyDescent="0.25">
      <c r="A106" s="2">
        <v>42985</v>
      </c>
      <c r="B106" s="2">
        <v>42985</v>
      </c>
      <c r="C106" t="str">
        <f>"IJNK0163303"</f>
        <v>IJNK0163303</v>
      </c>
      <c r="D106" t="s">
        <v>93</v>
      </c>
      <c r="F106">
        <v>23</v>
      </c>
      <c r="G106" s="1">
        <v>2447968.21</v>
      </c>
    </row>
    <row r="107" spans="1:7" x14ac:dyDescent="0.25">
      <c r="A107" s="2">
        <v>42986</v>
      </c>
      <c r="B107" s="2">
        <v>42985</v>
      </c>
      <c r="C107" t="str">
        <f>"UR4AXE2W63DDVSX"</f>
        <v>UR4AXE2W63DDVSX</v>
      </c>
      <c r="D107" t="s">
        <v>94</v>
      </c>
      <c r="F107" s="1">
        <v>56370</v>
      </c>
      <c r="G107" s="1">
        <v>2504338.21</v>
      </c>
    </row>
    <row r="108" spans="1:7" x14ac:dyDescent="0.25">
      <c r="A108" s="2">
        <v>42986</v>
      </c>
      <c r="B108" s="2">
        <v>42986</v>
      </c>
      <c r="C108" t="str">
        <f>"9909082017FNOB002"</f>
        <v>9909082017FNOB002</v>
      </c>
      <c r="D108" t="s">
        <v>95</v>
      </c>
      <c r="E108">
        <v>1</v>
      </c>
      <c r="G108" s="1">
        <v>2504337.21</v>
      </c>
    </row>
    <row r="109" spans="1:7" x14ac:dyDescent="0.25">
      <c r="A109" s="2">
        <v>42986</v>
      </c>
      <c r="B109" s="2">
        <v>42986</v>
      </c>
      <c r="C109" t="str">
        <f>"9909082017FNOB002"</f>
        <v>9909082017FNOB002</v>
      </c>
      <c r="D109" t="s">
        <v>96</v>
      </c>
      <c r="E109">
        <v>1</v>
      </c>
      <c r="G109" s="1">
        <v>2504336.21</v>
      </c>
    </row>
    <row r="110" spans="1:7" x14ac:dyDescent="0.25">
      <c r="A110" s="2">
        <v>42986</v>
      </c>
      <c r="B110" s="2">
        <v>42986</v>
      </c>
      <c r="C110" t="str">
        <f>"B3ITY16PYN0DU9Q"</f>
        <v>B3ITY16PYN0DU9Q</v>
      </c>
      <c r="D110" t="s">
        <v>97</v>
      </c>
      <c r="F110" s="1">
        <v>5313</v>
      </c>
      <c r="G110" s="1">
        <v>2509649.21</v>
      </c>
    </row>
    <row r="111" spans="1:7" x14ac:dyDescent="0.25">
      <c r="A111" s="2">
        <v>42986</v>
      </c>
      <c r="B111" s="2">
        <v>42986</v>
      </c>
      <c r="C111" t="str">
        <f>"B3ITY16PYN0DU9Q"</f>
        <v>B3ITY16PYN0DU9Q</v>
      </c>
      <c r="D111" t="s">
        <v>98</v>
      </c>
      <c r="F111" s="1">
        <v>7475.8</v>
      </c>
      <c r="G111" s="1">
        <v>2517125.0099999998</v>
      </c>
    </row>
    <row r="112" spans="1:7" x14ac:dyDescent="0.25">
      <c r="A112" s="2">
        <v>42986</v>
      </c>
      <c r="B112" s="2">
        <v>42986</v>
      </c>
      <c r="C112" t="str">
        <f>"B3ITY16PYN0DU9Q"</f>
        <v>B3ITY16PYN0DU9Q</v>
      </c>
      <c r="D112" t="s">
        <v>99</v>
      </c>
      <c r="F112" s="1">
        <v>39643</v>
      </c>
      <c r="G112" s="1">
        <v>2556768.0099999998</v>
      </c>
    </row>
    <row r="113" spans="1:7" x14ac:dyDescent="0.25">
      <c r="A113" s="2">
        <v>42986</v>
      </c>
      <c r="B113" s="2">
        <v>42986</v>
      </c>
      <c r="C113" t="str">
        <f>"AB4YRPT3YGT88WS"</f>
        <v>AB4YRPT3YGT88WS</v>
      </c>
      <c r="D113" t="s">
        <v>100</v>
      </c>
      <c r="F113" s="1">
        <v>2468</v>
      </c>
      <c r="G113" s="1">
        <v>2559236.0099999998</v>
      </c>
    </row>
    <row r="114" spans="1:7" x14ac:dyDescent="0.25">
      <c r="A114" s="2">
        <v>42986</v>
      </c>
      <c r="B114" s="2">
        <v>42986</v>
      </c>
      <c r="C114" t="str">
        <f>"AB4YRPT3YGT88WS"</f>
        <v>AB4YRPT3YGT88WS</v>
      </c>
      <c r="D114" t="s">
        <v>101</v>
      </c>
      <c r="F114" s="1">
        <v>8295</v>
      </c>
      <c r="G114" s="1">
        <v>2567531.0099999998</v>
      </c>
    </row>
    <row r="115" spans="1:7" x14ac:dyDescent="0.25">
      <c r="A115" s="2">
        <v>42986</v>
      </c>
      <c r="B115" s="2">
        <v>42986</v>
      </c>
      <c r="C115" t="str">
        <f>"P51A0YUOLX9VBVZ"</f>
        <v>P51A0YUOLX9VBVZ</v>
      </c>
      <c r="D115" t="s">
        <v>102</v>
      </c>
      <c r="E115">
        <v>10</v>
      </c>
      <c r="G115" s="1">
        <v>2567521.0099999998</v>
      </c>
    </row>
    <row r="116" spans="1:7" x14ac:dyDescent="0.25">
      <c r="A116" s="2">
        <v>42986</v>
      </c>
      <c r="B116" s="2">
        <v>42986</v>
      </c>
      <c r="C116" t="str">
        <f>"BMLM5804301"</f>
        <v>BMLM5804301</v>
      </c>
      <c r="D116" t="s">
        <v>103</v>
      </c>
      <c r="E116" s="1">
        <v>13559</v>
      </c>
      <c r="G116" s="1">
        <v>2553962.0099999998</v>
      </c>
    </row>
    <row r="117" spans="1:7" x14ac:dyDescent="0.25">
      <c r="A117" s="2">
        <v>42986</v>
      </c>
      <c r="B117" s="2">
        <v>42986</v>
      </c>
      <c r="C117" t="str">
        <f>"BMLM5806501"</f>
        <v>BMLM5806501</v>
      </c>
      <c r="D117" t="s">
        <v>36</v>
      </c>
      <c r="F117">
        <v>70</v>
      </c>
      <c r="G117" s="1">
        <v>2554032.0099999998</v>
      </c>
    </row>
    <row r="118" spans="1:7" x14ac:dyDescent="0.25">
      <c r="A118" s="2">
        <v>42986</v>
      </c>
      <c r="B118" s="2">
        <v>42986</v>
      </c>
      <c r="C118" t="str">
        <f>"BMLM5806601"</f>
        <v>BMLM5806601</v>
      </c>
      <c r="D118" t="s">
        <v>36</v>
      </c>
      <c r="F118">
        <v>25</v>
      </c>
      <c r="G118" s="1">
        <v>2554057.0099999998</v>
      </c>
    </row>
    <row r="119" spans="1:7" x14ac:dyDescent="0.25">
      <c r="A119" s="2">
        <v>42986</v>
      </c>
      <c r="B119" s="2">
        <v>42986</v>
      </c>
      <c r="C119" t="str">
        <f>"BMLM5806701"</f>
        <v>BMLM5806701</v>
      </c>
      <c r="D119" t="s">
        <v>36</v>
      </c>
      <c r="F119">
        <v>90</v>
      </c>
      <c r="G119" s="1">
        <v>2554147.0099999998</v>
      </c>
    </row>
    <row r="120" spans="1:7" x14ac:dyDescent="0.25">
      <c r="A120" s="2">
        <v>42986</v>
      </c>
      <c r="B120" s="2">
        <v>42986</v>
      </c>
      <c r="C120" t="str">
        <f>"BMLM5806901"</f>
        <v>BMLM5806901</v>
      </c>
      <c r="D120" t="s">
        <v>36</v>
      </c>
      <c r="F120">
        <v>130</v>
      </c>
      <c r="G120" s="1">
        <v>2554277.0099999998</v>
      </c>
    </row>
    <row r="121" spans="1:7" x14ac:dyDescent="0.25">
      <c r="A121" s="2">
        <v>42986</v>
      </c>
      <c r="B121" s="2">
        <v>42986</v>
      </c>
      <c r="C121" t="str">
        <f>"BMLM5807001"</f>
        <v>BMLM5807001</v>
      </c>
      <c r="D121" t="s">
        <v>36</v>
      </c>
      <c r="F121">
        <v>150</v>
      </c>
      <c r="G121" s="1">
        <v>2554427.0099999998</v>
      </c>
    </row>
    <row r="122" spans="1:7" x14ac:dyDescent="0.25">
      <c r="A122" s="2">
        <v>42986</v>
      </c>
      <c r="B122" s="2">
        <v>42986</v>
      </c>
      <c r="C122" t="str">
        <f>"VSFVURE9ZBW9I8Q"</f>
        <v>VSFVURE9ZBW9I8Q</v>
      </c>
      <c r="D122" t="s">
        <v>104</v>
      </c>
      <c r="E122">
        <v>10</v>
      </c>
      <c r="G122" s="1">
        <v>2554417.0099999998</v>
      </c>
    </row>
    <row r="123" spans="1:7" x14ac:dyDescent="0.25">
      <c r="A123" s="2">
        <v>42986</v>
      </c>
      <c r="B123" s="2">
        <v>42986</v>
      </c>
      <c r="C123" t="str">
        <f>"5VWJ33VOM7VJ4EX"</f>
        <v>5VWJ33VOM7VJ4EX</v>
      </c>
      <c r="D123" t="s">
        <v>105</v>
      </c>
      <c r="F123">
        <v>600</v>
      </c>
      <c r="G123" s="1">
        <v>2555017.0099999998</v>
      </c>
    </row>
    <row r="124" spans="1:7" x14ac:dyDescent="0.25">
      <c r="A124" s="2">
        <v>42986</v>
      </c>
      <c r="B124" s="2">
        <v>42986</v>
      </c>
      <c r="C124" t="str">
        <f>"5VWJ33VOM7VJ4EX"</f>
        <v>5VWJ33VOM7VJ4EX</v>
      </c>
      <c r="D124" t="s">
        <v>106</v>
      </c>
      <c r="F124" s="1">
        <v>18277</v>
      </c>
      <c r="G124" s="1">
        <v>2573294.0099999998</v>
      </c>
    </row>
    <row r="125" spans="1:7" x14ac:dyDescent="0.25">
      <c r="A125" s="2">
        <v>42986</v>
      </c>
      <c r="B125" s="2">
        <v>42986</v>
      </c>
      <c r="C125" t="str">
        <f>"CRZJGNAZVTAPLKOZ"</f>
        <v>CRZJGNAZVTAPLKOZ</v>
      </c>
      <c r="D125" t="s">
        <v>107</v>
      </c>
      <c r="F125" s="1">
        <v>2277</v>
      </c>
      <c r="G125" s="1">
        <v>2575571.0099999998</v>
      </c>
    </row>
    <row r="126" spans="1:7" x14ac:dyDescent="0.25">
      <c r="A126" s="2">
        <v>42989</v>
      </c>
      <c r="B126" s="2">
        <v>42989</v>
      </c>
      <c r="C126" t="str">
        <f>"991109TBMA05"</f>
        <v>991109TBMA05</v>
      </c>
      <c r="D126">
        <v>2017090800048530</v>
      </c>
      <c r="F126" s="1">
        <v>3733.09</v>
      </c>
      <c r="G126" s="1">
        <v>2579304.1</v>
      </c>
    </row>
    <row r="127" spans="1:7" x14ac:dyDescent="0.25">
      <c r="A127" s="2">
        <v>42989</v>
      </c>
      <c r="B127" s="2">
        <v>42989</v>
      </c>
      <c r="C127" t="str">
        <f>"991109TBMA05"</f>
        <v>991109TBMA05</v>
      </c>
      <c r="D127">
        <v>2017090800048530</v>
      </c>
      <c r="E127">
        <v>10</v>
      </c>
      <c r="G127" s="1">
        <v>2579294.1</v>
      </c>
    </row>
    <row r="128" spans="1:7" x14ac:dyDescent="0.25">
      <c r="A128" s="2">
        <v>42989</v>
      </c>
      <c r="B128" s="2">
        <v>42989</v>
      </c>
      <c r="C128" t="str">
        <f>"991109TBMA05"</f>
        <v>991109TBMA05</v>
      </c>
      <c r="D128" t="s">
        <v>108</v>
      </c>
      <c r="E128">
        <v>1</v>
      </c>
      <c r="G128" s="1">
        <v>2579293.1</v>
      </c>
    </row>
    <row r="129" spans="1:7" x14ac:dyDescent="0.25">
      <c r="A129" s="2">
        <v>42990</v>
      </c>
      <c r="B129" s="2">
        <v>42990</v>
      </c>
      <c r="C129" t="str">
        <f>"0001203912091711100015295"</f>
        <v>0001203912091711100015295</v>
      </c>
      <c r="D129" t="s">
        <v>109</v>
      </c>
      <c r="F129">
        <v>18</v>
      </c>
      <c r="G129" s="1">
        <v>2579311.1</v>
      </c>
    </row>
    <row r="130" spans="1:7" x14ac:dyDescent="0.25">
      <c r="A130" s="2">
        <v>42990</v>
      </c>
      <c r="B130" s="2">
        <v>42990</v>
      </c>
      <c r="C130" t="str">
        <f>"0001200212091712410027779"</f>
        <v>0001200212091712410027779</v>
      </c>
      <c r="D130" t="s">
        <v>110</v>
      </c>
      <c r="F130">
        <v>38</v>
      </c>
      <c r="G130" s="1">
        <v>2579349.1</v>
      </c>
    </row>
    <row r="131" spans="1:7" x14ac:dyDescent="0.25">
      <c r="A131" s="2">
        <v>42990</v>
      </c>
      <c r="B131" s="2">
        <v>42990</v>
      </c>
      <c r="C131" t="str">
        <f>"0001200212091713380027820"</f>
        <v>0001200212091713380027820</v>
      </c>
      <c r="D131" t="s">
        <v>110</v>
      </c>
      <c r="F131">
        <v>38</v>
      </c>
      <c r="G131" s="1">
        <v>2579387.1</v>
      </c>
    </row>
    <row r="132" spans="1:7" x14ac:dyDescent="0.25">
      <c r="A132" s="2">
        <v>42990</v>
      </c>
      <c r="B132" s="2">
        <v>42990</v>
      </c>
      <c r="C132" t="str">
        <f>"0001200212091713400027821"</f>
        <v>0001200212091713400027821</v>
      </c>
      <c r="D132" t="s">
        <v>110</v>
      </c>
      <c r="F132">
        <v>400</v>
      </c>
      <c r="G132" s="1">
        <v>2579787.1</v>
      </c>
    </row>
    <row r="133" spans="1:7" x14ac:dyDescent="0.25">
      <c r="A133" s="2">
        <v>42990</v>
      </c>
      <c r="B133" s="2">
        <v>42989</v>
      </c>
      <c r="C133" t="str">
        <f>"FT17254555G5|103"</f>
        <v>FT17254555G5|103</v>
      </c>
      <c r="D133" t="s">
        <v>111</v>
      </c>
      <c r="F133">
        <v>617.4</v>
      </c>
      <c r="G133" s="1">
        <v>2580404.5</v>
      </c>
    </row>
    <row r="134" spans="1:7" x14ac:dyDescent="0.25">
      <c r="A134" s="2">
        <v>42990</v>
      </c>
      <c r="B134" s="2">
        <v>42989</v>
      </c>
      <c r="C134" t="str">
        <f>"3725401688|103"</f>
        <v>3725401688|103</v>
      </c>
      <c r="D134" t="s">
        <v>112</v>
      </c>
      <c r="F134" s="1">
        <v>3141</v>
      </c>
      <c r="G134" s="1">
        <v>2583545.5</v>
      </c>
    </row>
    <row r="135" spans="1:7" x14ac:dyDescent="0.25">
      <c r="A135" s="2">
        <v>42990</v>
      </c>
      <c r="B135" s="2">
        <v>42990</v>
      </c>
      <c r="C135" t="str">
        <f>"0001200312091715180069980"</f>
        <v>0001200312091715180069980</v>
      </c>
      <c r="D135" t="s">
        <v>113</v>
      </c>
      <c r="E135" s="1">
        <v>6834</v>
      </c>
      <c r="G135" s="1">
        <v>2576711.5</v>
      </c>
    </row>
    <row r="136" spans="1:7" x14ac:dyDescent="0.25">
      <c r="A136" s="2">
        <v>42990</v>
      </c>
      <c r="B136" s="2">
        <v>42990</v>
      </c>
      <c r="C136" t="str">
        <f>"C509260OCP091117|103"</f>
        <v>C509260OCP091117|103</v>
      </c>
      <c r="D136" t="s">
        <v>114</v>
      </c>
      <c r="F136" s="1">
        <v>1211</v>
      </c>
      <c r="G136" s="1">
        <v>2577922.5</v>
      </c>
    </row>
    <row r="137" spans="1:7" x14ac:dyDescent="0.25">
      <c r="A137" s="2">
        <v>42990</v>
      </c>
      <c r="B137" s="2">
        <v>42989</v>
      </c>
      <c r="C137" t="str">
        <f>"0111709251EZ|103"</f>
        <v>0111709251EZ|103</v>
      </c>
      <c r="D137" t="s">
        <v>115</v>
      </c>
      <c r="E137">
        <v>10</v>
      </c>
      <c r="G137" s="1">
        <v>2577912.5</v>
      </c>
    </row>
    <row r="138" spans="1:7" x14ac:dyDescent="0.25">
      <c r="A138" s="2">
        <v>42990</v>
      </c>
      <c r="B138" s="2">
        <v>42989</v>
      </c>
      <c r="C138" t="str">
        <f>"0111709251EZ|103"</f>
        <v>0111709251EZ|103</v>
      </c>
      <c r="D138" t="s">
        <v>116</v>
      </c>
      <c r="F138" s="1">
        <v>4455</v>
      </c>
      <c r="G138" s="1">
        <v>2582367.5</v>
      </c>
    </row>
    <row r="139" spans="1:7" x14ac:dyDescent="0.25">
      <c r="A139" s="2">
        <v>42990</v>
      </c>
      <c r="B139" s="2">
        <v>42990</v>
      </c>
      <c r="C139" t="str">
        <f>"FT17255QH1S1|103"</f>
        <v>FT17255QH1S1|103</v>
      </c>
      <c r="D139" t="s">
        <v>117</v>
      </c>
      <c r="F139" s="1">
        <v>4473</v>
      </c>
      <c r="G139" s="1">
        <v>2586840.5</v>
      </c>
    </row>
    <row r="140" spans="1:7" x14ac:dyDescent="0.25">
      <c r="A140" s="2">
        <v>42990</v>
      </c>
      <c r="B140" s="2">
        <v>42990</v>
      </c>
      <c r="C140" t="str">
        <f>"FT1725570P67|103"</f>
        <v>FT1725570P67|103</v>
      </c>
      <c r="D140" t="s">
        <v>118</v>
      </c>
      <c r="F140" s="1">
        <v>2725</v>
      </c>
      <c r="G140" s="1">
        <v>2589565.5</v>
      </c>
    </row>
    <row r="141" spans="1:7" x14ac:dyDescent="0.25">
      <c r="A141" s="2">
        <v>42990</v>
      </c>
      <c r="B141" s="2">
        <v>42990</v>
      </c>
      <c r="C141" t="str">
        <f>"991109TBMA11"</f>
        <v>991109TBMA11</v>
      </c>
      <c r="D141" t="s">
        <v>119</v>
      </c>
      <c r="E141">
        <v>1</v>
      </c>
      <c r="G141" s="1">
        <v>2589564.5</v>
      </c>
    </row>
    <row r="142" spans="1:7" x14ac:dyDescent="0.25">
      <c r="A142" s="2">
        <v>42990</v>
      </c>
      <c r="B142" s="2">
        <v>42990</v>
      </c>
      <c r="C142" t="str">
        <f>"0001200212091719000028008"</f>
        <v>0001200212091719000028008</v>
      </c>
      <c r="D142" t="s">
        <v>120</v>
      </c>
      <c r="E142" s="1">
        <v>2211</v>
      </c>
      <c r="G142" s="1">
        <v>2587353.5</v>
      </c>
    </row>
    <row r="143" spans="1:7" x14ac:dyDescent="0.25">
      <c r="A143" s="2">
        <v>42991</v>
      </c>
      <c r="B143" s="2">
        <v>42991</v>
      </c>
      <c r="C143" t="str">
        <f>"0001203913091708050015478"</f>
        <v>0001203913091708050015478</v>
      </c>
      <c r="D143" t="s">
        <v>121</v>
      </c>
      <c r="F143">
        <v>18</v>
      </c>
      <c r="G143" s="1">
        <v>2587371.5</v>
      </c>
    </row>
    <row r="144" spans="1:7" x14ac:dyDescent="0.25">
      <c r="A144" s="2">
        <v>42991</v>
      </c>
      <c r="B144" s="2">
        <v>42991</v>
      </c>
      <c r="C144" t="str">
        <f>"0001203913091709380015513"</f>
        <v>0001203913091709380015513</v>
      </c>
      <c r="D144" t="s">
        <v>122</v>
      </c>
      <c r="F144">
        <v>20</v>
      </c>
      <c r="G144" s="1">
        <v>2587391.5</v>
      </c>
    </row>
    <row r="145" spans="1:7" x14ac:dyDescent="0.25">
      <c r="A145" s="2">
        <v>42991</v>
      </c>
      <c r="B145" s="2">
        <v>42991</v>
      </c>
      <c r="C145" t="str">
        <f>"00106801  "</f>
        <v xml:space="preserve">00106801  </v>
      </c>
      <c r="D145" t="s">
        <v>123</v>
      </c>
      <c r="E145">
        <v>116</v>
      </c>
      <c r="G145" s="1">
        <v>2587275.5</v>
      </c>
    </row>
    <row r="146" spans="1:7" x14ac:dyDescent="0.25">
      <c r="A146" s="2">
        <v>42991</v>
      </c>
      <c r="B146" s="2">
        <v>42991</v>
      </c>
      <c r="C146" t="str">
        <f>"00106789  "</f>
        <v xml:space="preserve">00106789  </v>
      </c>
      <c r="D146" t="s">
        <v>124</v>
      </c>
      <c r="E146" s="1">
        <v>8408</v>
      </c>
      <c r="G146" s="1">
        <v>2578867.5</v>
      </c>
    </row>
    <row r="147" spans="1:7" x14ac:dyDescent="0.25">
      <c r="A147" s="2">
        <v>42991</v>
      </c>
      <c r="B147" s="2">
        <v>42991</v>
      </c>
      <c r="C147" t="str">
        <f>"00106798  "</f>
        <v xml:space="preserve">00106798  </v>
      </c>
      <c r="D147" t="s">
        <v>125</v>
      </c>
      <c r="E147" s="1">
        <v>3474.55</v>
      </c>
      <c r="G147" s="1">
        <v>2575392.9500000002</v>
      </c>
    </row>
    <row r="148" spans="1:7" x14ac:dyDescent="0.25">
      <c r="A148" s="2">
        <v>42991</v>
      </c>
      <c r="B148" s="2">
        <v>42991</v>
      </c>
      <c r="C148" t="str">
        <f>"00106790  "</f>
        <v xml:space="preserve">00106790  </v>
      </c>
      <c r="D148" t="s">
        <v>126</v>
      </c>
      <c r="E148" s="1">
        <v>3575</v>
      </c>
      <c r="G148" s="1">
        <v>2571817.9500000002</v>
      </c>
    </row>
    <row r="149" spans="1:7" x14ac:dyDescent="0.25">
      <c r="A149" s="2">
        <v>42991</v>
      </c>
      <c r="B149" s="2">
        <v>42991</v>
      </c>
      <c r="C149" t="str">
        <f>"00106786  "</f>
        <v xml:space="preserve">00106786  </v>
      </c>
      <c r="D149" t="s">
        <v>127</v>
      </c>
      <c r="E149" s="1">
        <v>1037</v>
      </c>
      <c r="G149" s="1">
        <v>2570780.9500000002</v>
      </c>
    </row>
    <row r="150" spans="1:7" x14ac:dyDescent="0.25">
      <c r="A150" s="2">
        <v>42991</v>
      </c>
      <c r="B150" s="2">
        <v>42991</v>
      </c>
      <c r="C150" t="str">
        <f>"00106787  "</f>
        <v xml:space="preserve">00106787  </v>
      </c>
      <c r="D150" t="s">
        <v>128</v>
      </c>
      <c r="E150" s="1">
        <v>2715</v>
      </c>
      <c r="G150" s="1">
        <v>2568065.9500000002</v>
      </c>
    </row>
    <row r="151" spans="1:7" x14ac:dyDescent="0.25">
      <c r="A151" s="2">
        <v>42991</v>
      </c>
      <c r="B151" s="2">
        <v>42991</v>
      </c>
      <c r="C151" t="str">
        <f>"00106793  "</f>
        <v xml:space="preserve">00106793  </v>
      </c>
      <c r="D151" t="s">
        <v>129</v>
      </c>
      <c r="E151" s="1">
        <v>1578</v>
      </c>
      <c r="G151" s="1">
        <v>2566487.9500000002</v>
      </c>
    </row>
    <row r="152" spans="1:7" x14ac:dyDescent="0.25">
      <c r="A152" s="2">
        <v>42991</v>
      </c>
      <c r="B152" s="2">
        <v>42991</v>
      </c>
      <c r="C152" t="str">
        <f>"00106802  "</f>
        <v xml:space="preserve">00106802  </v>
      </c>
      <c r="D152" t="s">
        <v>130</v>
      </c>
      <c r="E152">
        <v>87</v>
      </c>
      <c r="G152" s="1">
        <v>2566400.9500000002</v>
      </c>
    </row>
    <row r="153" spans="1:7" x14ac:dyDescent="0.25">
      <c r="A153" s="2">
        <v>42991</v>
      </c>
      <c r="B153" s="2">
        <v>42991</v>
      </c>
      <c r="C153" t="str">
        <f>"00106791  "</f>
        <v xml:space="preserve">00106791  </v>
      </c>
      <c r="D153" t="s">
        <v>131</v>
      </c>
      <c r="E153" s="1">
        <v>1135</v>
      </c>
      <c r="G153" s="1">
        <v>2565265.9500000002</v>
      </c>
    </row>
    <row r="154" spans="1:7" x14ac:dyDescent="0.25">
      <c r="A154" s="2">
        <v>42991</v>
      </c>
      <c r="B154" s="2">
        <v>42991</v>
      </c>
      <c r="C154" t="str">
        <f>"00106788  "</f>
        <v xml:space="preserve">00106788  </v>
      </c>
      <c r="D154" t="s">
        <v>132</v>
      </c>
      <c r="E154">
        <v>263</v>
      </c>
      <c r="G154" s="1">
        <v>2565002.9500000002</v>
      </c>
    </row>
    <row r="155" spans="1:7" x14ac:dyDescent="0.25">
      <c r="A155" s="2">
        <v>42991</v>
      </c>
      <c r="B155" s="2">
        <v>42990</v>
      </c>
      <c r="C155" t="str">
        <f>"00106807  "</f>
        <v xml:space="preserve">00106807  </v>
      </c>
      <c r="D155" t="s">
        <v>133</v>
      </c>
      <c r="E155" s="1">
        <v>5670</v>
      </c>
      <c r="G155" s="1">
        <v>2559332.9500000002</v>
      </c>
    </row>
    <row r="156" spans="1:7" x14ac:dyDescent="0.25">
      <c r="A156" s="2">
        <v>42991</v>
      </c>
      <c r="B156" s="2">
        <v>42991</v>
      </c>
      <c r="C156" t="str">
        <f>"SE07801709130094|103"</f>
        <v>SE07801709130094|103</v>
      </c>
      <c r="D156" t="s">
        <v>134</v>
      </c>
      <c r="F156" s="1">
        <v>9297</v>
      </c>
      <c r="G156" s="1">
        <v>2568629.9500000002</v>
      </c>
    </row>
    <row r="157" spans="1:7" x14ac:dyDescent="0.25">
      <c r="A157" s="2">
        <v>42991</v>
      </c>
      <c r="B157" s="2">
        <v>42991</v>
      </c>
      <c r="C157" t="str">
        <f>"3725600442|103"</f>
        <v>3725600442|103</v>
      </c>
      <c r="D157" t="s">
        <v>135</v>
      </c>
      <c r="F157" s="1">
        <v>5518</v>
      </c>
      <c r="G157" s="1">
        <v>2574147.9500000002</v>
      </c>
    </row>
    <row r="158" spans="1:7" x14ac:dyDescent="0.25">
      <c r="A158" s="2">
        <v>42991</v>
      </c>
      <c r="B158" s="2">
        <v>42991</v>
      </c>
      <c r="C158" t="str">
        <f>"FT172558PRC7|103"</f>
        <v>FT172558PRC7|103</v>
      </c>
      <c r="D158" t="s">
        <v>136</v>
      </c>
      <c r="F158" s="1">
        <v>3510</v>
      </c>
      <c r="G158" s="1">
        <v>2577657.9500000002</v>
      </c>
    </row>
    <row r="159" spans="1:7" x14ac:dyDescent="0.25">
      <c r="A159" s="2">
        <v>42991</v>
      </c>
      <c r="B159" s="2">
        <v>42991</v>
      </c>
      <c r="C159" t="str">
        <f>"FT17256MCF8T|103"</f>
        <v>FT17256MCF8T|103</v>
      </c>
      <c r="D159" t="s">
        <v>137</v>
      </c>
      <c r="F159" s="1">
        <v>5230</v>
      </c>
      <c r="G159" s="1">
        <v>2582887.9500000002</v>
      </c>
    </row>
    <row r="160" spans="1:7" x14ac:dyDescent="0.25">
      <c r="A160" s="2">
        <v>42991</v>
      </c>
      <c r="B160" s="2">
        <v>42991</v>
      </c>
      <c r="C160" t="str">
        <f>"998ORTG172560010|103"</f>
        <v>998ORTG172560010|103</v>
      </c>
      <c r="D160" t="s">
        <v>138</v>
      </c>
      <c r="F160">
        <v>46</v>
      </c>
      <c r="G160" s="1">
        <v>2582933.9500000002</v>
      </c>
    </row>
    <row r="161" spans="1:7" x14ac:dyDescent="0.25">
      <c r="A161" s="2">
        <v>42991</v>
      </c>
      <c r="B161" s="2">
        <v>42991</v>
      </c>
      <c r="C161" t="str">
        <f>"SE07801709132730|103"</f>
        <v>SE07801709132730|103</v>
      </c>
      <c r="D161" t="s">
        <v>139</v>
      </c>
      <c r="F161" s="1">
        <v>11144</v>
      </c>
      <c r="G161" s="1">
        <v>2594077.9500000002</v>
      </c>
    </row>
    <row r="162" spans="1:7" x14ac:dyDescent="0.25">
      <c r="A162" s="2">
        <v>42991</v>
      </c>
      <c r="B162" s="2">
        <v>42991</v>
      </c>
      <c r="C162" t="str">
        <f>"SE07801709132732|103"</f>
        <v>SE07801709132732|103</v>
      </c>
      <c r="D162" t="s">
        <v>140</v>
      </c>
      <c r="F162" s="1">
        <v>13543</v>
      </c>
      <c r="G162" s="1">
        <v>2607620.9500000002</v>
      </c>
    </row>
    <row r="163" spans="1:7" x14ac:dyDescent="0.25">
      <c r="A163" s="2">
        <v>42991</v>
      </c>
      <c r="B163" s="2">
        <v>42991</v>
      </c>
      <c r="C163" t="str">
        <f>"998ORTG172560012|103"</f>
        <v>998ORTG172560012|103</v>
      </c>
      <c r="D163" t="s">
        <v>141</v>
      </c>
      <c r="F163" s="1">
        <v>15182</v>
      </c>
      <c r="G163" s="1">
        <v>2622802.9500000002</v>
      </c>
    </row>
    <row r="164" spans="1:7" x14ac:dyDescent="0.25">
      <c r="A164" s="2">
        <v>42991</v>
      </c>
      <c r="B164" s="2">
        <v>42991</v>
      </c>
      <c r="C164" t="str">
        <f>"FT17256RPXCQ|103"</f>
        <v>FT17256RPXCQ|103</v>
      </c>
      <c r="D164" t="s">
        <v>142</v>
      </c>
      <c r="F164" s="1">
        <v>3900</v>
      </c>
      <c r="G164" s="1">
        <v>2626702.9500000002</v>
      </c>
    </row>
    <row r="165" spans="1:7" x14ac:dyDescent="0.25">
      <c r="A165" s="2">
        <v>42991</v>
      </c>
      <c r="B165" s="2">
        <v>42991</v>
      </c>
      <c r="C165" t="str">
        <f>"0001200213091717450028712"</f>
        <v>0001200213091717450028712</v>
      </c>
      <c r="D165" t="s">
        <v>110</v>
      </c>
      <c r="F165">
        <v>30</v>
      </c>
      <c r="G165" s="1">
        <v>2626732.9500000002</v>
      </c>
    </row>
    <row r="166" spans="1:7" x14ac:dyDescent="0.25">
      <c r="A166" s="2">
        <v>42991</v>
      </c>
      <c r="B166" s="2">
        <v>42991</v>
      </c>
      <c r="C166" t="str">
        <f>"0001200213091717460028713"</f>
        <v>0001200213091717460028713</v>
      </c>
      <c r="D166" t="s">
        <v>110</v>
      </c>
      <c r="F166" s="1">
        <v>2645</v>
      </c>
      <c r="G166" s="1">
        <v>2629377.9500000002</v>
      </c>
    </row>
    <row r="167" spans="1:7" x14ac:dyDescent="0.25">
      <c r="A167" s="2">
        <v>42991</v>
      </c>
      <c r="B167" s="2">
        <v>42991</v>
      </c>
      <c r="C167" t="str">
        <f>"0001200213091717470028714"</f>
        <v>0001200213091717470028714</v>
      </c>
      <c r="D167" t="s">
        <v>110</v>
      </c>
      <c r="F167">
        <v>18</v>
      </c>
      <c r="G167" s="1">
        <v>2629395.9500000002</v>
      </c>
    </row>
    <row r="168" spans="1:7" x14ac:dyDescent="0.25">
      <c r="A168" s="2">
        <v>42991</v>
      </c>
      <c r="B168" s="2">
        <v>42991</v>
      </c>
      <c r="C168" t="str">
        <f>"0001200213091717480028716"</f>
        <v>0001200213091717480028716</v>
      </c>
      <c r="D168" t="s">
        <v>110</v>
      </c>
      <c r="F168">
        <v>150</v>
      </c>
      <c r="G168" s="1">
        <v>2629545.9500000002</v>
      </c>
    </row>
    <row r="169" spans="1:7" x14ac:dyDescent="0.25">
      <c r="A169" s="2">
        <v>42991</v>
      </c>
      <c r="B169" s="2">
        <v>42991</v>
      </c>
      <c r="C169" t="str">
        <f>"0001200213091717480028718"</f>
        <v>0001200213091717480028718</v>
      </c>
      <c r="D169" t="s">
        <v>110</v>
      </c>
      <c r="F169">
        <v>15</v>
      </c>
      <c r="G169" s="1">
        <v>2629560.9500000002</v>
      </c>
    </row>
    <row r="170" spans="1:7" x14ac:dyDescent="0.25">
      <c r="A170" s="2">
        <v>42991</v>
      </c>
      <c r="B170" s="2">
        <v>42991</v>
      </c>
      <c r="C170" t="str">
        <f>"0001200213091717490028719"</f>
        <v>0001200213091717490028719</v>
      </c>
      <c r="D170" t="s">
        <v>110</v>
      </c>
      <c r="F170" s="1">
        <v>4560</v>
      </c>
      <c r="G170" s="1">
        <v>2634120.9500000002</v>
      </c>
    </row>
    <row r="171" spans="1:7" x14ac:dyDescent="0.25">
      <c r="A171" s="2">
        <v>42991</v>
      </c>
      <c r="B171" s="2">
        <v>42991</v>
      </c>
      <c r="C171" t="str">
        <f>"0001200213091717520028725"</f>
        <v>0001200213091717520028725</v>
      </c>
      <c r="D171" t="s">
        <v>110</v>
      </c>
      <c r="F171">
        <v>770</v>
      </c>
      <c r="G171" s="1">
        <v>2634890.9500000002</v>
      </c>
    </row>
    <row r="172" spans="1:7" x14ac:dyDescent="0.25">
      <c r="A172" s="2">
        <v>42991</v>
      </c>
      <c r="B172" s="2">
        <v>42991</v>
      </c>
      <c r="C172" t="str">
        <f>"0001200213091717530028730"</f>
        <v>0001200213091717530028730</v>
      </c>
      <c r="D172" t="s">
        <v>110</v>
      </c>
      <c r="F172">
        <v>352</v>
      </c>
      <c r="G172" s="1">
        <v>2635242.9500000002</v>
      </c>
    </row>
    <row r="173" spans="1:7" x14ac:dyDescent="0.25">
      <c r="A173" s="2">
        <v>42991</v>
      </c>
      <c r="B173" s="2">
        <v>42991</v>
      </c>
      <c r="C173" t="str">
        <f>"991309JEMM19"</f>
        <v>991309JEMM19</v>
      </c>
      <c r="D173" t="s">
        <v>143</v>
      </c>
      <c r="E173" s="1">
        <v>10012</v>
      </c>
      <c r="G173" s="1">
        <v>2625230.9500000002</v>
      </c>
    </row>
    <row r="174" spans="1:7" x14ac:dyDescent="0.25">
      <c r="A174" s="2">
        <v>42991</v>
      </c>
      <c r="B174" s="2">
        <v>42991</v>
      </c>
      <c r="C174" t="str">
        <f>"991309JEMM19"</f>
        <v>991309JEMM19</v>
      </c>
      <c r="D174" t="s">
        <v>143</v>
      </c>
      <c r="E174">
        <v>16.03</v>
      </c>
      <c r="G174" s="1">
        <v>2625214.92</v>
      </c>
    </row>
    <row r="175" spans="1:7" x14ac:dyDescent="0.25">
      <c r="A175" s="2">
        <v>42992</v>
      </c>
      <c r="B175" s="2">
        <v>42992</v>
      </c>
      <c r="C175" t="str">
        <f>"BMLM5794701"</f>
        <v>BMLM5794701</v>
      </c>
      <c r="D175" t="s">
        <v>144</v>
      </c>
      <c r="F175" s="1">
        <v>2856</v>
      </c>
      <c r="G175" s="1">
        <v>1609569.23</v>
      </c>
    </row>
    <row r="176" spans="1:7" x14ac:dyDescent="0.25">
      <c r="A176" s="2">
        <v>42992</v>
      </c>
      <c r="B176" s="2">
        <v>42992</v>
      </c>
      <c r="C176" t="str">
        <f>"BMLM5794801"</f>
        <v>BMLM5794801</v>
      </c>
      <c r="D176" t="s">
        <v>145</v>
      </c>
      <c r="F176">
        <v>780</v>
      </c>
      <c r="G176" s="1">
        <v>1610349.23</v>
      </c>
    </row>
    <row r="177" spans="1:7" x14ac:dyDescent="0.25">
      <c r="A177" s="2">
        <v>42992</v>
      </c>
      <c r="B177" s="2">
        <v>42992</v>
      </c>
      <c r="C177" t="str">
        <f>"991409MOAB00"</f>
        <v>991409MOAB00</v>
      </c>
      <c r="D177" t="s">
        <v>146</v>
      </c>
      <c r="F177">
        <v>152</v>
      </c>
      <c r="G177" s="1">
        <v>2625366.92</v>
      </c>
    </row>
    <row r="178" spans="1:7" x14ac:dyDescent="0.25">
      <c r="A178" s="2">
        <v>42992</v>
      </c>
      <c r="B178" s="2">
        <v>42992</v>
      </c>
      <c r="C178" t="str">
        <f>"991409JEMM18"</f>
        <v>991409JEMM18</v>
      </c>
      <c r="D178" t="s">
        <v>147</v>
      </c>
      <c r="E178" s="1">
        <v>823813.94</v>
      </c>
      <c r="G178" s="1">
        <v>1801552.98</v>
      </c>
    </row>
    <row r="179" spans="1:7" x14ac:dyDescent="0.25">
      <c r="A179" s="2">
        <v>42992</v>
      </c>
      <c r="B179" s="2">
        <v>42992</v>
      </c>
      <c r="C179" t="str">
        <f>"991409JEMM18"</f>
        <v>991409JEMM18</v>
      </c>
      <c r="D179" t="s">
        <v>147</v>
      </c>
      <c r="E179">
        <v>5.34</v>
      </c>
      <c r="G179" s="1">
        <v>1801547.64</v>
      </c>
    </row>
    <row r="180" spans="1:7" x14ac:dyDescent="0.25">
      <c r="A180" s="2">
        <v>42992</v>
      </c>
      <c r="B180" s="2">
        <v>42992</v>
      </c>
      <c r="C180" t="str">
        <f>"991409ESIM12"</f>
        <v>991409ESIM12</v>
      </c>
      <c r="D180" t="s">
        <v>148</v>
      </c>
      <c r="E180" s="1">
        <v>624336.9</v>
      </c>
      <c r="G180" s="1">
        <v>1177210.74</v>
      </c>
    </row>
    <row r="181" spans="1:7" x14ac:dyDescent="0.25">
      <c r="A181" s="2">
        <v>42992</v>
      </c>
      <c r="B181" s="2">
        <v>42992</v>
      </c>
      <c r="C181" t="str">
        <f>"991409ESIM12"</f>
        <v>991409ESIM12</v>
      </c>
      <c r="D181" t="s">
        <v>148</v>
      </c>
      <c r="E181">
        <v>5.34</v>
      </c>
      <c r="G181" s="1">
        <v>1177205.3999999999</v>
      </c>
    </row>
    <row r="182" spans="1:7" x14ac:dyDescent="0.25">
      <c r="A182" s="2">
        <v>42992</v>
      </c>
      <c r="B182" s="2">
        <v>42992</v>
      </c>
      <c r="C182" t="str">
        <f>"0001203914091715530016591"</f>
        <v>0001203914091715530016591</v>
      </c>
      <c r="D182" t="s">
        <v>149</v>
      </c>
      <c r="F182">
        <v>20</v>
      </c>
      <c r="G182" s="1">
        <v>1177225.3999999999</v>
      </c>
    </row>
    <row r="183" spans="1:7" x14ac:dyDescent="0.25">
      <c r="A183" s="2">
        <v>42992</v>
      </c>
      <c r="B183" s="2">
        <v>42992</v>
      </c>
      <c r="C183" t="str">
        <f>"0001200214091716370029449"</f>
        <v>0001200214091716370029449</v>
      </c>
      <c r="D183" t="s">
        <v>150</v>
      </c>
      <c r="F183" s="1">
        <v>1425</v>
      </c>
      <c r="G183" s="1">
        <v>1178650.3999999999</v>
      </c>
    </row>
    <row r="184" spans="1:7" x14ac:dyDescent="0.25">
      <c r="A184" s="2">
        <v>42992</v>
      </c>
      <c r="B184" s="2">
        <v>42992</v>
      </c>
      <c r="C184" t="str">
        <f>"FT17257HH9R1|103"</f>
        <v>FT17257HH9R1|103</v>
      </c>
      <c r="D184" t="s">
        <v>151</v>
      </c>
      <c r="F184">
        <v>13.72</v>
      </c>
      <c r="G184" s="1">
        <v>1178664.1200000001</v>
      </c>
    </row>
    <row r="185" spans="1:7" x14ac:dyDescent="0.25">
      <c r="A185" s="2">
        <v>42992</v>
      </c>
      <c r="B185" s="2">
        <v>42992</v>
      </c>
      <c r="C185" t="str">
        <f>"991409ESIM24"</f>
        <v>991409ESIM24</v>
      </c>
      <c r="D185" t="s">
        <v>152</v>
      </c>
      <c r="E185" s="1">
        <v>1360</v>
      </c>
      <c r="G185" s="1">
        <v>1177304.1200000001</v>
      </c>
    </row>
    <row r="186" spans="1:7" x14ac:dyDescent="0.25">
      <c r="A186" s="2">
        <v>42992</v>
      </c>
      <c r="B186" s="2">
        <v>42992</v>
      </c>
      <c r="C186" t="str">
        <f>"991409ESIM24"</f>
        <v>991409ESIM24</v>
      </c>
      <c r="D186" t="s">
        <v>153</v>
      </c>
      <c r="E186">
        <v>16.03</v>
      </c>
      <c r="G186" s="1">
        <v>1177288.0900000001</v>
      </c>
    </row>
    <row r="187" spans="1:7" x14ac:dyDescent="0.25">
      <c r="A187" s="2">
        <v>42992</v>
      </c>
      <c r="B187" s="2">
        <v>42992</v>
      </c>
      <c r="C187" t="str">
        <f>"991409ESIM25"</f>
        <v>991409ESIM25</v>
      </c>
      <c r="D187" t="s">
        <v>154</v>
      </c>
      <c r="E187" s="1">
        <v>1980</v>
      </c>
      <c r="G187" s="1">
        <v>1175308.0900000001</v>
      </c>
    </row>
    <row r="188" spans="1:7" x14ac:dyDescent="0.25">
      <c r="A188" s="2">
        <v>42992</v>
      </c>
      <c r="B188" s="2">
        <v>42992</v>
      </c>
      <c r="C188" t="str">
        <f>"991409ESIM25"</f>
        <v>991409ESIM25</v>
      </c>
      <c r="D188" t="s">
        <v>154</v>
      </c>
      <c r="E188">
        <v>16.03</v>
      </c>
      <c r="G188" s="1">
        <v>1175292.06</v>
      </c>
    </row>
    <row r="189" spans="1:7" x14ac:dyDescent="0.25">
      <c r="A189" s="2">
        <v>42993</v>
      </c>
      <c r="B189" s="2">
        <v>42993</v>
      </c>
      <c r="C189" t="str">
        <f>"00106803  "</f>
        <v xml:space="preserve">00106803  </v>
      </c>
      <c r="D189" t="s">
        <v>155</v>
      </c>
      <c r="E189" s="1">
        <v>3308.48</v>
      </c>
      <c r="G189" s="1">
        <v>1171983.58</v>
      </c>
    </row>
    <row r="190" spans="1:7" x14ac:dyDescent="0.25">
      <c r="A190" s="2">
        <v>42993</v>
      </c>
      <c r="B190" s="2">
        <v>42993</v>
      </c>
      <c r="C190" t="str">
        <f>"00106769  "</f>
        <v xml:space="preserve">00106769  </v>
      </c>
      <c r="D190" t="s">
        <v>156</v>
      </c>
      <c r="E190">
        <v>838</v>
      </c>
      <c r="G190" s="1">
        <v>1171145.58</v>
      </c>
    </row>
    <row r="191" spans="1:7" x14ac:dyDescent="0.25">
      <c r="A191" s="2">
        <v>42993</v>
      </c>
      <c r="B191" s="2">
        <v>42993</v>
      </c>
      <c r="C191" t="str">
        <f>"991509JEMM10"</f>
        <v>991509JEMM10</v>
      </c>
      <c r="D191" t="s">
        <v>157</v>
      </c>
      <c r="E191" s="1">
        <v>19742.55</v>
      </c>
      <c r="G191" s="1">
        <v>1151403.03</v>
      </c>
    </row>
    <row r="192" spans="1:7" x14ac:dyDescent="0.25">
      <c r="A192" s="2">
        <v>42993</v>
      </c>
      <c r="B192" s="2">
        <v>42993</v>
      </c>
      <c r="C192" t="str">
        <f>"991509JEMM10"</f>
        <v>991509JEMM10</v>
      </c>
      <c r="D192" t="s">
        <v>157</v>
      </c>
      <c r="E192">
        <v>16.03</v>
      </c>
      <c r="G192" s="1">
        <v>1151387</v>
      </c>
    </row>
    <row r="193" spans="1:7" x14ac:dyDescent="0.25">
      <c r="A193" s="2">
        <v>42993</v>
      </c>
      <c r="B193" s="2">
        <v>42993</v>
      </c>
      <c r="C193" t="str">
        <f>"0001203915091713440017865"</f>
        <v>0001203915091713440017865</v>
      </c>
      <c r="D193" t="s">
        <v>158</v>
      </c>
      <c r="F193">
        <v>23</v>
      </c>
      <c r="G193" s="1">
        <v>1151410</v>
      </c>
    </row>
    <row r="194" spans="1:7" x14ac:dyDescent="0.25">
      <c r="A194" s="2">
        <v>42993</v>
      </c>
      <c r="B194" s="2">
        <v>42993</v>
      </c>
      <c r="C194" t="str">
        <f>"FT17258Z1LZY|103"</f>
        <v>FT17258Z1LZY|103</v>
      </c>
      <c r="D194" t="s">
        <v>159</v>
      </c>
      <c r="F194">
        <v>769.3</v>
      </c>
      <c r="G194" s="1">
        <v>1152179.3</v>
      </c>
    </row>
    <row r="195" spans="1:7" x14ac:dyDescent="0.25">
      <c r="A195" s="2">
        <v>42993</v>
      </c>
      <c r="B195" s="2">
        <v>42993</v>
      </c>
      <c r="C195" t="str">
        <f>"SE07801709151126|103"</f>
        <v>SE07801709151126|103</v>
      </c>
      <c r="D195" t="s">
        <v>160</v>
      </c>
      <c r="F195" s="1">
        <v>55257.85</v>
      </c>
      <c r="G195" s="1">
        <v>1207437.1499999999</v>
      </c>
    </row>
    <row r="196" spans="1:7" x14ac:dyDescent="0.25">
      <c r="A196" s="2">
        <v>42993</v>
      </c>
      <c r="B196" s="2">
        <v>42993</v>
      </c>
      <c r="C196" t="str">
        <f>"C136929OCP091417|103"</f>
        <v>C136929OCP091417|103</v>
      </c>
      <c r="D196" t="s">
        <v>161</v>
      </c>
      <c r="F196" s="1">
        <v>1440</v>
      </c>
      <c r="G196" s="1">
        <v>1208877.1499999999</v>
      </c>
    </row>
    <row r="197" spans="1:7" x14ac:dyDescent="0.25">
      <c r="A197" s="2">
        <v>42993</v>
      </c>
      <c r="B197" s="2">
        <v>42993</v>
      </c>
      <c r="C197" t="str">
        <f>"C140901OCP091417|103"</f>
        <v>C140901OCP091417|103</v>
      </c>
      <c r="D197" t="s">
        <v>162</v>
      </c>
      <c r="F197" s="1">
        <v>2010</v>
      </c>
      <c r="G197" s="1">
        <v>1210887.1499999999</v>
      </c>
    </row>
    <row r="198" spans="1:7" x14ac:dyDescent="0.25">
      <c r="A198" s="2">
        <v>42993</v>
      </c>
      <c r="B198" s="2">
        <v>42993</v>
      </c>
      <c r="C198" t="str">
        <f>"0001200215091716460030226"</f>
        <v>0001200215091716460030226</v>
      </c>
      <c r="D198" t="s">
        <v>110</v>
      </c>
      <c r="F198" s="1">
        <v>6986</v>
      </c>
      <c r="G198" s="1">
        <v>1217873.1499999999</v>
      </c>
    </row>
    <row r="199" spans="1:7" x14ac:dyDescent="0.25">
      <c r="A199" s="2">
        <v>42993</v>
      </c>
      <c r="B199" s="2">
        <v>42993</v>
      </c>
      <c r="C199" t="str">
        <f>"0001200215091718160030345"</f>
        <v>0001200215091718160030345</v>
      </c>
      <c r="D199" t="s">
        <v>163</v>
      </c>
      <c r="F199">
        <v>86.27</v>
      </c>
      <c r="G199" s="1">
        <v>1217959.42</v>
      </c>
    </row>
    <row r="200" spans="1:7" x14ac:dyDescent="0.25">
      <c r="A200" s="2">
        <v>42993</v>
      </c>
      <c r="B200" s="2">
        <v>42993</v>
      </c>
      <c r="C200" t="str">
        <f>"0001200215091718180030349"</f>
        <v>0001200215091718180030349</v>
      </c>
      <c r="D200" t="s">
        <v>164</v>
      </c>
      <c r="F200">
        <v>2.82</v>
      </c>
      <c r="G200" s="1">
        <v>1217962.24</v>
      </c>
    </row>
    <row r="201" spans="1:7" x14ac:dyDescent="0.25">
      <c r="A201" s="2">
        <v>42993</v>
      </c>
      <c r="B201" s="2">
        <v>42993</v>
      </c>
      <c r="C201" t="str">
        <f>"3725802213|103"</f>
        <v>3725802213|103</v>
      </c>
      <c r="D201" t="s">
        <v>165</v>
      </c>
      <c r="F201" s="1">
        <v>10217</v>
      </c>
      <c r="G201" s="1">
        <v>1228179.24</v>
      </c>
    </row>
    <row r="202" spans="1:7" x14ac:dyDescent="0.25">
      <c r="A202" s="2">
        <v>42994</v>
      </c>
      <c r="B202" s="2">
        <v>42994</v>
      </c>
      <c r="C202" t="str">
        <f>"0001203916091712380019338"</f>
        <v>0001203916091712380019338</v>
      </c>
      <c r="D202" t="s">
        <v>110</v>
      </c>
      <c r="F202">
        <v>18</v>
      </c>
      <c r="G202" s="1">
        <v>1228202.29</v>
      </c>
    </row>
    <row r="203" spans="1:7" x14ac:dyDescent="0.25">
      <c r="A203" s="2">
        <v>42994</v>
      </c>
      <c r="B203" s="2">
        <v>42994</v>
      </c>
      <c r="C203" t="str">
        <f>"0001203916091716130019529"</f>
        <v>0001203916091716130019529</v>
      </c>
      <c r="D203" t="s">
        <v>110</v>
      </c>
      <c r="F203">
        <v>30</v>
      </c>
      <c r="G203" s="1">
        <v>1228232.29</v>
      </c>
    </row>
    <row r="204" spans="1:7" x14ac:dyDescent="0.25">
      <c r="A204" s="2">
        <v>42994</v>
      </c>
      <c r="B204" s="2">
        <v>42994</v>
      </c>
      <c r="C204" t="str">
        <f>"991609JEMM17"</f>
        <v>991609JEMM17</v>
      </c>
      <c r="D204" t="s">
        <v>166</v>
      </c>
      <c r="E204" s="1">
        <v>18106.310000000001</v>
      </c>
      <c r="G204" s="1">
        <v>1210125.98</v>
      </c>
    </row>
    <row r="205" spans="1:7" x14ac:dyDescent="0.25">
      <c r="A205" s="2">
        <v>42994</v>
      </c>
      <c r="B205" s="2">
        <v>42994</v>
      </c>
      <c r="C205" t="str">
        <f>"991609JEMM17"</f>
        <v>991609JEMM17</v>
      </c>
      <c r="D205" t="s">
        <v>166</v>
      </c>
      <c r="E205">
        <v>5.34</v>
      </c>
      <c r="G205" s="1">
        <v>1210120.6399999999</v>
      </c>
    </row>
    <row r="206" spans="1:7" x14ac:dyDescent="0.25">
      <c r="A206" s="2">
        <v>42995</v>
      </c>
      <c r="B206" s="2">
        <v>42995</v>
      </c>
      <c r="C206" t="str">
        <f>"0001203917091714240020445"</f>
        <v>0001203917091714240020445</v>
      </c>
      <c r="D206" t="s">
        <v>122</v>
      </c>
      <c r="F206">
        <v>18</v>
      </c>
      <c r="G206" s="1">
        <v>1210138.6399999999</v>
      </c>
    </row>
    <row r="207" spans="1:7" x14ac:dyDescent="0.25">
      <c r="A207" s="2">
        <v>42995</v>
      </c>
      <c r="B207" s="2">
        <v>42995</v>
      </c>
      <c r="C207" t="str">
        <f>"0001203917091714250020446"</f>
        <v>0001203917091714250020446</v>
      </c>
      <c r="D207" t="s">
        <v>122</v>
      </c>
      <c r="F207">
        <v>18</v>
      </c>
      <c r="G207" s="1">
        <v>1210156.6399999999</v>
      </c>
    </row>
    <row r="208" spans="1:7" x14ac:dyDescent="0.25">
      <c r="A208" s="2">
        <v>42996</v>
      </c>
      <c r="B208" s="2">
        <v>42996</v>
      </c>
      <c r="C208" t="str">
        <f>"0001200218091709420031137"</f>
        <v>0001200218091709420031137</v>
      </c>
      <c r="D208" t="s">
        <v>167</v>
      </c>
      <c r="E208" s="1">
        <v>6441.78</v>
      </c>
      <c r="G208" s="1">
        <v>1203714.8600000001</v>
      </c>
    </row>
    <row r="209" spans="1:7" x14ac:dyDescent="0.25">
      <c r="A209" s="2">
        <v>42996</v>
      </c>
      <c r="B209" s="2">
        <v>42996</v>
      </c>
      <c r="C209" t="str">
        <f>"0001203918091712110021751"</f>
        <v>0001203918091712110021751</v>
      </c>
      <c r="D209" t="s">
        <v>110</v>
      </c>
      <c r="F209">
        <v>18</v>
      </c>
      <c r="G209" s="1">
        <v>1203732.8600000001</v>
      </c>
    </row>
    <row r="210" spans="1:7" x14ac:dyDescent="0.25">
      <c r="A210" s="2">
        <v>42996</v>
      </c>
      <c r="B210" s="2">
        <v>42996</v>
      </c>
      <c r="C210" t="str">
        <f>"999ORTGS5495817|103"</f>
        <v>999ORTGS5495817|103</v>
      </c>
      <c r="D210" t="s">
        <v>168</v>
      </c>
      <c r="F210">
        <v>313</v>
      </c>
      <c r="G210" s="1">
        <v>1204045.8600000001</v>
      </c>
    </row>
    <row r="211" spans="1:7" x14ac:dyDescent="0.25">
      <c r="A211" s="2">
        <v>42996</v>
      </c>
      <c r="B211" s="2">
        <v>42996</v>
      </c>
      <c r="C211" t="str">
        <f>"FT172610C66R|103"</f>
        <v>FT172610C66R|103</v>
      </c>
      <c r="D211" t="s">
        <v>169</v>
      </c>
      <c r="F211" s="1">
        <v>2250</v>
      </c>
      <c r="G211" s="1">
        <v>1206295.8600000001</v>
      </c>
    </row>
    <row r="212" spans="1:7" x14ac:dyDescent="0.25">
      <c r="A212" s="2">
        <v>42996</v>
      </c>
      <c r="B212" s="2">
        <v>42996</v>
      </c>
      <c r="C212" t="str">
        <f>"S0672581871401|103"</f>
        <v>S0672581871401|103</v>
      </c>
      <c r="D212" t="s">
        <v>170</v>
      </c>
      <c r="F212" s="1">
        <v>1386</v>
      </c>
      <c r="G212" s="1">
        <v>1207681.8600000001</v>
      </c>
    </row>
    <row r="213" spans="1:7" x14ac:dyDescent="0.25">
      <c r="A213" s="2">
        <v>42996</v>
      </c>
      <c r="B213" s="2">
        <v>42996</v>
      </c>
      <c r="C213" t="str">
        <f>"2017091500047189|103"</f>
        <v>2017091500047189|103</v>
      </c>
      <c r="D213" t="s">
        <v>171</v>
      </c>
      <c r="F213" s="1">
        <v>10294</v>
      </c>
      <c r="G213" s="1">
        <v>1217975.8600000001</v>
      </c>
    </row>
    <row r="214" spans="1:7" x14ac:dyDescent="0.25">
      <c r="A214" s="2">
        <v>42996</v>
      </c>
      <c r="B214" s="2">
        <v>42996</v>
      </c>
      <c r="C214" t="str">
        <f>"2017091500047189|103"</f>
        <v>2017091500047189|103</v>
      </c>
      <c r="D214" t="s">
        <v>172</v>
      </c>
      <c r="E214">
        <v>10</v>
      </c>
      <c r="G214" s="1">
        <v>1217965.8600000001</v>
      </c>
    </row>
    <row r="215" spans="1:7" x14ac:dyDescent="0.25">
      <c r="A215" s="2">
        <v>42996</v>
      </c>
      <c r="B215" s="2">
        <v>42996</v>
      </c>
      <c r="C215" t="str">
        <f>"FT17261QVVST|103"</f>
        <v>FT17261QVVST|103</v>
      </c>
      <c r="D215" t="s">
        <v>173</v>
      </c>
      <c r="F215">
        <v>820</v>
      </c>
      <c r="G215" s="1">
        <v>1218785.8600000001</v>
      </c>
    </row>
    <row r="216" spans="1:7" x14ac:dyDescent="0.25">
      <c r="A216" s="2">
        <v>42996</v>
      </c>
      <c r="B216" s="2">
        <v>42996</v>
      </c>
      <c r="C216" t="str">
        <f>"FT17261FW51W|103"</f>
        <v>FT17261FW51W|103</v>
      </c>
      <c r="D216" t="s">
        <v>174</v>
      </c>
      <c r="F216">
        <v>365</v>
      </c>
      <c r="G216" s="1">
        <v>1219150.8600000001</v>
      </c>
    </row>
    <row r="217" spans="1:7" x14ac:dyDescent="0.25">
      <c r="A217" s="2">
        <v>42996</v>
      </c>
      <c r="B217" s="2">
        <v>42996</v>
      </c>
      <c r="C217" t="str">
        <f>"FT17261Y12FC|103"</f>
        <v>FT17261Y12FC|103</v>
      </c>
      <c r="D217" t="s">
        <v>175</v>
      </c>
      <c r="F217">
        <v>431</v>
      </c>
      <c r="G217" s="1">
        <v>1219581.8600000001</v>
      </c>
    </row>
    <row r="218" spans="1:7" x14ac:dyDescent="0.25">
      <c r="A218" s="2">
        <v>42996</v>
      </c>
      <c r="B218" s="2">
        <v>42996</v>
      </c>
      <c r="C218" t="str">
        <f>"FT1726135J93|103"</f>
        <v>FT1726135J93|103</v>
      </c>
      <c r="D218" t="s">
        <v>176</v>
      </c>
      <c r="F218">
        <v>355</v>
      </c>
      <c r="G218" s="1">
        <v>1219936.8600000001</v>
      </c>
    </row>
    <row r="219" spans="1:7" x14ac:dyDescent="0.25">
      <c r="A219" s="2">
        <v>42996</v>
      </c>
      <c r="B219" s="2">
        <v>42996</v>
      </c>
      <c r="C219" t="str">
        <f>"FT17261XCNKL|103"</f>
        <v>FT17261XCNKL|103</v>
      </c>
      <c r="D219" t="s">
        <v>177</v>
      </c>
      <c r="F219" s="1">
        <v>1660</v>
      </c>
      <c r="G219" s="1">
        <v>1221596.8600000001</v>
      </c>
    </row>
    <row r="220" spans="1:7" x14ac:dyDescent="0.25">
      <c r="A220" s="2">
        <v>42996</v>
      </c>
      <c r="B220" s="2">
        <v>42996</v>
      </c>
      <c r="C220" t="str">
        <f>"FT17261NF9XJ|103"</f>
        <v>FT17261NF9XJ|103</v>
      </c>
      <c r="D220" t="s">
        <v>178</v>
      </c>
      <c r="F220">
        <v>90</v>
      </c>
      <c r="G220" s="1">
        <v>1221686.8600000001</v>
      </c>
    </row>
    <row r="221" spans="1:7" x14ac:dyDescent="0.25">
      <c r="A221" s="2">
        <v>42996</v>
      </c>
      <c r="B221" s="2">
        <v>42996</v>
      </c>
      <c r="C221" t="str">
        <f>"FT17261WKR2Q|103"</f>
        <v>FT17261WKR2Q|103</v>
      </c>
      <c r="D221" t="s">
        <v>179</v>
      </c>
      <c r="F221">
        <v>150</v>
      </c>
      <c r="G221" s="1">
        <v>1221836.8600000001</v>
      </c>
    </row>
    <row r="222" spans="1:7" x14ac:dyDescent="0.25">
      <c r="A222" s="2">
        <v>42996</v>
      </c>
      <c r="B222" s="2">
        <v>42996</v>
      </c>
      <c r="C222" t="str">
        <f>"FT172611C8HZ|103"</f>
        <v>FT172611C8HZ|103</v>
      </c>
      <c r="D222" t="s">
        <v>180</v>
      </c>
      <c r="F222">
        <v>611</v>
      </c>
      <c r="G222" s="1">
        <v>1222447.8600000001</v>
      </c>
    </row>
    <row r="223" spans="1:7" x14ac:dyDescent="0.25">
      <c r="A223" s="2">
        <v>42996</v>
      </c>
      <c r="B223" s="2">
        <v>42996</v>
      </c>
      <c r="C223" t="str">
        <f>"FT17261C4PM8|103"</f>
        <v>FT17261C4PM8|103</v>
      </c>
      <c r="D223" t="s">
        <v>181</v>
      </c>
      <c r="F223" s="1">
        <v>1260</v>
      </c>
      <c r="G223" s="1">
        <v>1223707.8600000001</v>
      </c>
    </row>
    <row r="224" spans="1:7" x14ac:dyDescent="0.25">
      <c r="A224" s="2">
        <v>42996</v>
      </c>
      <c r="B224" s="2">
        <v>42996</v>
      </c>
      <c r="C224" t="str">
        <f>"FT17261MM5GZ|103"</f>
        <v>FT17261MM5GZ|103</v>
      </c>
      <c r="D224" t="s">
        <v>182</v>
      </c>
      <c r="F224" s="1">
        <v>4370</v>
      </c>
      <c r="G224" s="1">
        <v>1228077.8600000001</v>
      </c>
    </row>
    <row r="225" spans="1:7" x14ac:dyDescent="0.25">
      <c r="A225" s="2">
        <v>42996</v>
      </c>
      <c r="B225" s="2">
        <v>42996</v>
      </c>
      <c r="C225" t="str">
        <f>"FT17261169MZ|103"</f>
        <v>FT17261169MZ|103</v>
      </c>
      <c r="D225" t="s">
        <v>183</v>
      </c>
      <c r="F225">
        <v>320</v>
      </c>
      <c r="G225" s="1">
        <v>1228397.8600000001</v>
      </c>
    </row>
    <row r="226" spans="1:7" x14ac:dyDescent="0.25">
      <c r="A226" s="2">
        <v>42996</v>
      </c>
      <c r="B226" s="2">
        <v>42996</v>
      </c>
      <c r="C226" t="str">
        <f>"FT17261369H8|103"</f>
        <v>FT17261369H8|103</v>
      </c>
      <c r="D226" t="s">
        <v>184</v>
      </c>
      <c r="F226">
        <v>780</v>
      </c>
      <c r="G226" s="1">
        <v>1229177.8600000001</v>
      </c>
    </row>
    <row r="227" spans="1:7" x14ac:dyDescent="0.25">
      <c r="A227" s="2">
        <v>42996</v>
      </c>
      <c r="B227" s="2">
        <v>42996</v>
      </c>
      <c r="C227" t="str">
        <f>"FT17261JWL06|103"</f>
        <v>FT17261JWL06|103</v>
      </c>
      <c r="D227" t="s">
        <v>185</v>
      </c>
      <c r="F227">
        <v>90</v>
      </c>
      <c r="G227" s="1">
        <v>1229267.8600000001</v>
      </c>
    </row>
    <row r="228" spans="1:7" x14ac:dyDescent="0.25">
      <c r="A228" s="2">
        <v>42996</v>
      </c>
      <c r="B228" s="2">
        <v>42996</v>
      </c>
      <c r="C228" t="str">
        <f>"FT17261SSL7S|103"</f>
        <v>FT17261SSL7S|103</v>
      </c>
      <c r="D228" t="s">
        <v>186</v>
      </c>
      <c r="F228" s="1">
        <v>1370.31</v>
      </c>
      <c r="G228" s="1">
        <v>1230638.17</v>
      </c>
    </row>
    <row r="229" spans="1:7" x14ac:dyDescent="0.25">
      <c r="A229" s="2">
        <v>42996</v>
      </c>
      <c r="B229" s="2">
        <v>42996</v>
      </c>
      <c r="C229" t="str">
        <f>"FT17261WRYVN|103"</f>
        <v>FT17261WRYVN|103</v>
      </c>
      <c r="D229" t="s">
        <v>187</v>
      </c>
      <c r="F229" s="1">
        <v>1375</v>
      </c>
      <c r="G229" s="1">
        <v>1232013.17</v>
      </c>
    </row>
    <row r="230" spans="1:7" x14ac:dyDescent="0.25">
      <c r="A230" s="2">
        <v>42996</v>
      </c>
      <c r="B230" s="2">
        <v>42996</v>
      </c>
      <c r="C230" t="str">
        <f>"SE07801709182372|103"</f>
        <v>SE07801709182372|103</v>
      </c>
      <c r="D230" t="s">
        <v>188</v>
      </c>
      <c r="F230" s="1">
        <v>2316</v>
      </c>
      <c r="G230" s="1">
        <v>1234329.17</v>
      </c>
    </row>
    <row r="231" spans="1:7" x14ac:dyDescent="0.25">
      <c r="A231" s="2">
        <v>42996</v>
      </c>
      <c r="B231" s="2">
        <v>42996</v>
      </c>
      <c r="C231" t="str">
        <f>"FT17261XFC1L|103"</f>
        <v>FT17261XFC1L|103</v>
      </c>
      <c r="D231" t="s">
        <v>189</v>
      </c>
      <c r="F231">
        <v>107</v>
      </c>
      <c r="G231" s="1">
        <v>1234436.17</v>
      </c>
    </row>
    <row r="232" spans="1:7" x14ac:dyDescent="0.25">
      <c r="A232" s="2">
        <v>42996</v>
      </c>
      <c r="B232" s="2">
        <v>42996</v>
      </c>
      <c r="C232" t="str">
        <f>"FT17261GQCSW|103"</f>
        <v>FT17261GQCSW|103</v>
      </c>
      <c r="D232" t="s">
        <v>190</v>
      </c>
      <c r="F232">
        <v>205</v>
      </c>
      <c r="G232" s="1">
        <v>1234641.17</v>
      </c>
    </row>
    <row r="233" spans="1:7" x14ac:dyDescent="0.25">
      <c r="A233" s="2">
        <v>42996</v>
      </c>
      <c r="B233" s="2">
        <v>42996</v>
      </c>
      <c r="C233" t="str">
        <f>"SE07801709183068|103"</f>
        <v>SE07801709183068|103</v>
      </c>
      <c r="D233" t="s">
        <v>191</v>
      </c>
      <c r="F233" s="1">
        <v>6267</v>
      </c>
      <c r="G233" s="1">
        <v>1240908.17</v>
      </c>
    </row>
    <row r="234" spans="1:7" x14ac:dyDescent="0.25">
      <c r="A234" s="2">
        <v>42996</v>
      </c>
      <c r="B234" s="2">
        <v>42996</v>
      </c>
      <c r="C234" t="str">
        <f>"SE07801709183024|103"</f>
        <v>SE07801709183024|103</v>
      </c>
      <c r="D234" t="s">
        <v>192</v>
      </c>
      <c r="F234" s="1">
        <v>10371</v>
      </c>
      <c r="G234" s="1">
        <v>1251279.17</v>
      </c>
    </row>
    <row r="235" spans="1:7" x14ac:dyDescent="0.25">
      <c r="A235" s="2">
        <v>42996</v>
      </c>
      <c r="B235" s="2">
        <v>42996</v>
      </c>
      <c r="C235" t="str">
        <f>"FT17261K12BD|103"</f>
        <v>FT17261K12BD|103</v>
      </c>
      <c r="D235" t="s">
        <v>193</v>
      </c>
      <c r="F235">
        <v>555</v>
      </c>
      <c r="G235" s="1">
        <v>1251834.17</v>
      </c>
    </row>
    <row r="236" spans="1:7" x14ac:dyDescent="0.25">
      <c r="A236" s="2">
        <v>42996</v>
      </c>
      <c r="B236" s="2">
        <v>42996</v>
      </c>
      <c r="C236" t="str">
        <f>"FT17261BVRJW|103"</f>
        <v>FT17261BVRJW|103</v>
      </c>
      <c r="D236" t="s">
        <v>194</v>
      </c>
      <c r="F236">
        <v>38</v>
      </c>
      <c r="G236" s="1">
        <v>1251872.17</v>
      </c>
    </row>
    <row r="237" spans="1:7" x14ac:dyDescent="0.25">
      <c r="A237" s="2">
        <v>42996</v>
      </c>
      <c r="B237" s="2">
        <v>42996</v>
      </c>
      <c r="C237" t="str">
        <f>"0001200218091715560031690"</f>
        <v>0001200218091715560031690</v>
      </c>
      <c r="D237" t="s">
        <v>110</v>
      </c>
      <c r="F237">
        <v>965</v>
      </c>
      <c r="G237" s="1">
        <v>1252837.17</v>
      </c>
    </row>
    <row r="238" spans="1:7" x14ac:dyDescent="0.25">
      <c r="A238" s="2">
        <v>42996</v>
      </c>
      <c r="B238" s="2">
        <v>42996</v>
      </c>
      <c r="C238" t="str">
        <f>"0001200218091715560031691"</f>
        <v>0001200218091715560031691</v>
      </c>
      <c r="D238" t="s">
        <v>110</v>
      </c>
      <c r="F238">
        <v>227</v>
      </c>
      <c r="G238" s="1">
        <v>1253064.17</v>
      </c>
    </row>
    <row r="239" spans="1:7" x14ac:dyDescent="0.25">
      <c r="A239" s="2">
        <v>42997</v>
      </c>
      <c r="B239" s="2">
        <v>42996</v>
      </c>
      <c r="C239" t="str">
        <f>"BKNN1924601"</f>
        <v>BKNN1924601</v>
      </c>
      <c r="D239" t="s">
        <v>195</v>
      </c>
      <c r="F239" s="1">
        <v>6675</v>
      </c>
      <c r="G239" s="1">
        <v>2444130.21</v>
      </c>
    </row>
    <row r="240" spans="1:7" x14ac:dyDescent="0.25">
      <c r="A240" s="2">
        <v>42997</v>
      </c>
      <c r="B240" s="2">
        <v>42996</v>
      </c>
      <c r="C240" t="str">
        <f>"BKNN1924602"</f>
        <v>BKNN1924602</v>
      </c>
      <c r="D240" t="s">
        <v>196</v>
      </c>
      <c r="F240" s="1">
        <v>2553</v>
      </c>
      <c r="G240" s="1">
        <v>2446683.21</v>
      </c>
    </row>
    <row r="241" spans="1:7" x14ac:dyDescent="0.25">
      <c r="A241" s="2">
        <v>42997</v>
      </c>
      <c r="B241" s="2">
        <v>42996</v>
      </c>
      <c r="C241" t="str">
        <f>"BKNN1924603"</f>
        <v>BKNN1924603</v>
      </c>
      <c r="D241" t="s">
        <v>197</v>
      </c>
      <c r="F241" s="1">
        <v>1262</v>
      </c>
      <c r="G241" s="1">
        <v>2447945.21</v>
      </c>
    </row>
    <row r="242" spans="1:7" x14ac:dyDescent="0.25">
      <c r="A242" s="2">
        <v>42997</v>
      </c>
      <c r="B242" s="2">
        <v>42997</v>
      </c>
      <c r="C242" t="str">
        <f>"0001200215091718510030498"</f>
        <v>0001200215091718510030498</v>
      </c>
      <c r="D242" t="s">
        <v>198</v>
      </c>
      <c r="F242">
        <v>5.05</v>
      </c>
      <c r="G242" s="1">
        <v>1228184.29</v>
      </c>
    </row>
    <row r="243" spans="1:7" x14ac:dyDescent="0.25">
      <c r="A243" s="2">
        <v>42997</v>
      </c>
      <c r="B243" s="2">
        <v>42997</v>
      </c>
      <c r="C243" t="str">
        <f>"00106824  "</f>
        <v xml:space="preserve">00106824  </v>
      </c>
      <c r="D243" t="s">
        <v>199</v>
      </c>
      <c r="E243" s="1">
        <v>10625</v>
      </c>
      <c r="G243" s="1">
        <v>1242439.17</v>
      </c>
    </row>
    <row r="244" spans="1:7" x14ac:dyDescent="0.25">
      <c r="A244" s="2">
        <v>42997</v>
      </c>
      <c r="B244" s="2">
        <v>42997</v>
      </c>
      <c r="C244" t="str">
        <f>"00106825  "</f>
        <v xml:space="preserve">00106825  </v>
      </c>
      <c r="D244" t="s">
        <v>200</v>
      </c>
      <c r="E244" s="1">
        <v>6000</v>
      </c>
      <c r="G244" s="1">
        <v>1236439.17</v>
      </c>
    </row>
    <row r="245" spans="1:7" x14ac:dyDescent="0.25">
      <c r="A245" s="2">
        <v>42997</v>
      </c>
      <c r="B245" s="2">
        <v>42997</v>
      </c>
      <c r="C245" t="str">
        <f>"00106822  "</f>
        <v xml:space="preserve">00106822  </v>
      </c>
      <c r="D245" t="s">
        <v>201</v>
      </c>
      <c r="E245" s="1">
        <v>8540.5300000000007</v>
      </c>
      <c r="G245" s="1">
        <v>1227898.6399999999</v>
      </c>
    </row>
    <row r="246" spans="1:7" x14ac:dyDescent="0.25">
      <c r="A246" s="2">
        <v>42997</v>
      </c>
      <c r="B246" s="2">
        <v>42997</v>
      </c>
      <c r="C246" t="str">
        <f>"991809TBMA05"</f>
        <v>991809TBMA05</v>
      </c>
      <c r="D246" t="s">
        <v>202</v>
      </c>
      <c r="E246">
        <v>1</v>
      </c>
      <c r="G246" s="1">
        <v>1227897.6399999999</v>
      </c>
    </row>
    <row r="247" spans="1:7" x14ac:dyDescent="0.25">
      <c r="A247" s="2">
        <v>42997</v>
      </c>
      <c r="B247" s="2">
        <v>42997</v>
      </c>
      <c r="C247" t="str">
        <f>"991809TBMA05"</f>
        <v>991809TBMA05</v>
      </c>
      <c r="D247" t="s">
        <v>202</v>
      </c>
      <c r="E247">
        <v>10</v>
      </c>
      <c r="G247" s="1">
        <v>1227887.6399999999</v>
      </c>
    </row>
    <row r="248" spans="1:7" x14ac:dyDescent="0.25">
      <c r="A248" s="2">
        <v>42997</v>
      </c>
      <c r="B248" s="2">
        <v>42997</v>
      </c>
      <c r="C248" t="str">
        <f>"991809TBMA05"</f>
        <v>991809TBMA05</v>
      </c>
      <c r="D248" t="s">
        <v>202</v>
      </c>
      <c r="F248" s="1">
        <v>7042.83</v>
      </c>
      <c r="G248" s="1">
        <v>1234930.47</v>
      </c>
    </row>
    <row r="249" spans="1:7" x14ac:dyDescent="0.25">
      <c r="A249" s="2">
        <v>42997</v>
      </c>
      <c r="B249" s="2">
        <v>42997</v>
      </c>
      <c r="C249" t="str">
        <f>"0001203919091712520023784"</f>
        <v>0001203919091712520023784</v>
      </c>
      <c r="D249" t="s">
        <v>203</v>
      </c>
      <c r="F249">
        <v>30</v>
      </c>
      <c r="G249" s="1">
        <v>1234960.47</v>
      </c>
    </row>
    <row r="250" spans="1:7" x14ac:dyDescent="0.25">
      <c r="A250" s="2">
        <v>42997</v>
      </c>
      <c r="B250" s="2">
        <v>42997</v>
      </c>
      <c r="C250" t="str">
        <f>"3726201237|103"</f>
        <v>3726201237|103</v>
      </c>
      <c r="D250" t="s">
        <v>204</v>
      </c>
      <c r="F250" s="1">
        <v>6140</v>
      </c>
      <c r="G250" s="1">
        <v>1241100.47</v>
      </c>
    </row>
    <row r="251" spans="1:7" x14ac:dyDescent="0.25">
      <c r="A251" s="2">
        <v>42997</v>
      </c>
      <c r="B251" s="2">
        <v>42997</v>
      </c>
      <c r="C251" t="str">
        <f>"FT17262GVDMN|103"</f>
        <v>FT17262GVDMN|103</v>
      </c>
      <c r="D251" t="s">
        <v>205</v>
      </c>
      <c r="F251" s="1">
        <v>3194.8</v>
      </c>
      <c r="G251" s="1">
        <v>1244295.27</v>
      </c>
    </row>
    <row r="252" spans="1:7" x14ac:dyDescent="0.25">
      <c r="A252" s="2">
        <v>42997</v>
      </c>
      <c r="B252" s="2">
        <v>42997</v>
      </c>
      <c r="C252" t="str">
        <f>"RTO15100996678|103"</f>
        <v>RTO15100996678|103</v>
      </c>
      <c r="D252" t="s">
        <v>206</v>
      </c>
      <c r="F252" s="1">
        <v>30000</v>
      </c>
      <c r="G252" s="1">
        <v>1274295.27</v>
      </c>
    </row>
    <row r="253" spans="1:7" x14ac:dyDescent="0.25">
      <c r="A253" s="2">
        <v>42997</v>
      </c>
      <c r="B253" s="2">
        <v>42997</v>
      </c>
      <c r="C253" t="str">
        <f>"094FT04172620002|103"</f>
        <v>094FT04172620002|103</v>
      </c>
      <c r="D253" t="s">
        <v>207</v>
      </c>
      <c r="F253" s="1">
        <v>44000</v>
      </c>
      <c r="G253" s="1">
        <v>1318295.27</v>
      </c>
    </row>
    <row r="254" spans="1:7" x14ac:dyDescent="0.25">
      <c r="A254" s="2">
        <v>42997</v>
      </c>
      <c r="B254" s="2">
        <v>42997</v>
      </c>
      <c r="C254" t="str">
        <f>"0001200219091714070032393"</f>
        <v>0001200219091714070032393</v>
      </c>
      <c r="D254" t="s">
        <v>208</v>
      </c>
      <c r="E254" s="1">
        <v>300000</v>
      </c>
      <c r="G254" s="1">
        <v>1018295.27</v>
      </c>
    </row>
    <row r="255" spans="1:7" x14ac:dyDescent="0.25">
      <c r="A255" s="2">
        <v>42997</v>
      </c>
      <c r="B255" s="2">
        <v>42997</v>
      </c>
      <c r="C255" t="str">
        <f>"1318209261FF|103"</f>
        <v>1318209261FF|103</v>
      </c>
      <c r="D255" t="s">
        <v>209</v>
      </c>
      <c r="F255" s="1">
        <v>7533</v>
      </c>
      <c r="G255" s="1">
        <v>1025828.27</v>
      </c>
    </row>
    <row r="256" spans="1:7" x14ac:dyDescent="0.25">
      <c r="A256" s="2">
        <v>42997</v>
      </c>
      <c r="B256" s="2">
        <v>42997</v>
      </c>
      <c r="C256" t="str">
        <f>"1318209261FF|103"</f>
        <v>1318209261FF|103</v>
      </c>
      <c r="D256" t="s">
        <v>210</v>
      </c>
      <c r="E256">
        <v>10</v>
      </c>
      <c r="G256" s="1">
        <v>1025818.27</v>
      </c>
    </row>
    <row r="257" spans="1:7" x14ac:dyDescent="0.25">
      <c r="A257" s="2">
        <v>42998</v>
      </c>
      <c r="B257" s="2">
        <v>42998</v>
      </c>
      <c r="C257" t="str">
        <f>"0001200220091709290032849"</f>
        <v>0001200220091709290032849</v>
      </c>
      <c r="D257" t="s">
        <v>110</v>
      </c>
      <c r="F257">
        <v>495</v>
      </c>
      <c r="G257" s="1">
        <v>1026313.27</v>
      </c>
    </row>
    <row r="258" spans="1:7" x14ac:dyDescent="0.25">
      <c r="A258" s="2">
        <v>42998</v>
      </c>
      <c r="B258" s="2">
        <v>42998</v>
      </c>
      <c r="C258" t="str">
        <f>"0001200220091709300032850"</f>
        <v>0001200220091709300032850</v>
      </c>
      <c r="D258" t="s">
        <v>110</v>
      </c>
      <c r="F258">
        <v>160</v>
      </c>
      <c r="G258" s="1">
        <v>1026473.27</v>
      </c>
    </row>
    <row r="259" spans="1:7" x14ac:dyDescent="0.25">
      <c r="A259" s="2">
        <v>42998</v>
      </c>
      <c r="B259" s="2">
        <v>42998</v>
      </c>
      <c r="C259" t="str">
        <f>"0001200220091709300032853"</f>
        <v>0001200220091709300032853</v>
      </c>
      <c r="D259" t="s">
        <v>110</v>
      </c>
      <c r="F259">
        <v>180</v>
      </c>
      <c r="G259" s="1">
        <v>1026653.27</v>
      </c>
    </row>
    <row r="260" spans="1:7" x14ac:dyDescent="0.25">
      <c r="A260" s="2">
        <v>42998</v>
      </c>
      <c r="B260" s="2">
        <v>42998</v>
      </c>
      <c r="C260" t="str">
        <f>"0001200220091709440032875"</f>
        <v>0001200220091709440032875</v>
      </c>
      <c r="D260" t="s">
        <v>211</v>
      </c>
      <c r="E260" s="1">
        <v>4994</v>
      </c>
      <c r="G260" s="1">
        <v>1021659.27</v>
      </c>
    </row>
    <row r="261" spans="1:7" x14ac:dyDescent="0.25">
      <c r="A261" s="2">
        <v>42998</v>
      </c>
      <c r="B261" s="2">
        <v>42998</v>
      </c>
      <c r="C261" t="str">
        <f>"C310153OCP091917|103"</f>
        <v>C310153OCP091917|103</v>
      </c>
      <c r="D261" t="s">
        <v>212</v>
      </c>
      <c r="E261">
        <v>10</v>
      </c>
      <c r="G261" s="1">
        <v>1021649.27</v>
      </c>
    </row>
    <row r="262" spans="1:7" x14ac:dyDescent="0.25">
      <c r="A262" s="2">
        <v>42998</v>
      </c>
      <c r="B262" s="2">
        <v>42998</v>
      </c>
      <c r="C262" t="str">
        <f>"S067262080BE01|103"</f>
        <v>S067262080BE01|103</v>
      </c>
      <c r="D262" t="s">
        <v>213</v>
      </c>
      <c r="F262">
        <v>820</v>
      </c>
      <c r="G262" s="1">
        <v>1022469.27</v>
      </c>
    </row>
    <row r="263" spans="1:7" x14ac:dyDescent="0.25">
      <c r="A263" s="2">
        <v>42998</v>
      </c>
      <c r="B263" s="2">
        <v>42998</v>
      </c>
      <c r="C263" t="str">
        <f>"S06726216FC101|103"</f>
        <v>S06726216FC101|103</v>
      </c>
      <c r="D263" t="s">
        <v>214</v>
      </c>
      <c r="F263" s="1">
        <v>4156</v>
      </c>
      <c r="G263" s="1">
        <v>1026625.27</v>
      </c>
    </row>
    <row r="264" spans="1:7" x14ac:dyDescent="0.25">
      <c r="A264" s="2">
        <v>42998</v>
      </c>
      <c r="B264" s="2">
        <v>42998</v>
      </c>
      <c r="C264" t="str">
        <f>"C310153OCP091917|103"</f>
        <v>C310153OCP091917|103</v>
      </c>
      <c r="D264" t="s">
        <v>215</v>
      </c>
      <c r="F264" s="1">
        <v>500000</v>
      </c>
      <c r="G264" s="1">
        <v>1526625.27</v>
      </c>
    </row>
    <row r="265" spans="1:7" x14ac:dyDescent="0.25">
      <c r="A265" s="2">
        <v>42998</v>
      </c>
      <c r="B265" s="2">
        <v>42998</v>
      </c>
      <c r="C265" t="str">
        <f>"FT1726209MJM|103"</f>
        <v>FT1726209MJM|103</v>
      </c>
      <c r="D265" t="s">
        <v>216</v>
      </c>
      <c r="F265" s="1">
        <v>19000</v>
      </c>
      <c r="G265" s="1">
        <v>1545625.27</v>
      </c>
    </row>
    <row r="266" spans="1:7" x14ac:dyDescent="0.25">
      <c r="A266" s="2">
        <v>42998</v>
      </c>
      <c r="B266" s="2">
        <v>42998</v>
      </c>
      <c r="C266" t="str">
        <f>"FT17263XGRJM|103"</f>
        <v>FT17263XGRJM|103</v>
      </c>
      <c r="D266" t="s">
        <v>217</v>
      </c>
      <c r="F266">
        <v>140</v>
      </c>
      <c r="G266" s="1">
        <v>1545765.27</v>
      </c>
    </row>
    <row r="267" spans="1:7" x14ac:dyDescent="0.25">
      <c r="A267" s="2">
        <v>42998</v>
      </c>
      <c r="B267" s="2">
        <v>42998</v>
      </c>
      <c r="C267" t="str">
        <f>"FT17263ZHW4P|103"</f>
        <v>FT17263ZHW4P|103</v>
      </c>
      <c r="D267" t="s">
        <v>218</v>
      </c>
      <c r="F267">
        <v>525.28</v>
      </c>
      <c r="G267" s="1">
        <v>1546290.55</v>
      </c>
    </row>
    <row r="268" spans="1:7" x14ac:dyDescent="0.25">
      <c r="A268" s="2">
        <v>42998</v>
      </c>
      <c r="B268" s="2">
        <v>42998</v>
      </c>
      <c r="C268" t="str">
        <f>"0001200220091715060033463"</f>
        <v>0001200220091715060033463</v>
      </c>
      <c r="D268" t="s">
        <v>110</v>
      </c>
      <c r="F268">
        <v>22</v>
      </c>
      <c r="G268" s="1">
        <v>1546312.55</v>
      </c>
    </row>
    <row r="269" spans="1:7" x14ac:dyDescent="0.25">
      <c r="A269" s="2">
        <v>42998</v>
      </c>
      <c r="B269" s="2">
        <v>42998</v>
      </c>
      <c r="C269" t="str">
        <f>"0001200220091715060033466"</f>
        <v>0001200220091715060033466</v>
      </c>
      <c r="D269" t="s">
        <v>110</v>
      </c>
      <c r="F269">
        <v>241</v>
      </c>
      <c r="G269" s="1">
        <v>1546553.55</v>
      </c>
    </row>
    <row r="270" spans="1:7" x14ac:dyDescent="0.25">
      <c r="A270" s="2">
        <v>42998</v>
      </c>
      <c r="B270" s="2">
        <v>42998</v>
      </c>
      <c r="C270" t="str">
        <f>"0001200220091715070033468"</f>
        <v>0001200220091715070033468</v>
      </c>
      <c r="D270" t="s">
        <v>110</v>
      </c>
      <c r="F270">
        <v>931</v>
      </c>
      <c r="G270" s="1">
        <v>1547484.55</v>
      </c>
    </row>
    <row r="271" spans="1:7" x14ac:dyDescent="0.25">
      <c r="A271" s="2">
        <v>42998</v>
      </c>
      <c r="B271" s="2">
        <v>42998</v>
      </c>
      <c r="C271" t="str">
        <f>"0001200220091715070033472"</f>
        <v>0001200220091715070033472</v>
      </c>
      <c r="D271" t="s">
        <v>110</v>
      </c>
      <c r="F271" s="1">
        <v>6791</v>
      </c>
      <c r="G271" s="1">
        <v>1554275.55</v>
      </c>
    </row>
    <row r="272" spans="1:7" x14ac:dyDescent="0.25">
      <c r="A272" s="2">
        <v>42998</v>
      </c>
      <c r="B272" s="2">
        <v>42998</v>
      </c>
      <c r="C272" t="str">
        <f>"992009TBMA05"</f>
        <v>992009TBMA05</v>
      </c>
      <c r="D272" t="s">
        <v>219</v>
      </c>
      <c r="E272">
        <v>10</v>
      </c>
      <c r="G272" s="1">
        <v>1554265.55</v>
      </c>
    </row>
    <row r="273" spans="1:7" x14ac:dyDescent="0.25">
      <c r="A273" s="2">
        <v>42998</v>
      </c>
      <c r="B273" s="2">
        <v>42998</v>
      </c>
      <c r="C273" t="str">
        <f>"992009TBMA05"</f>
        <v>992009TBMA05</v>
      </c>
      <c r="D273" t="s">
        <v>219</v>
      </c>
      <c r="E273">
        <v>1</v>
      </c>
      <c r="G273" s="1">
        <v>1554264.55</v>
      </c>
    </row>
    <row r="274" spans="1:7" x14ac:dyDescent="0.25">
      <c r="A274" s="2">
        <v>42998</v>
      </c>
      <c r="B274" s="2">
        <v>42998</v>
      </c>
      <c r="C274" t="str">
        <f>"992009TBMA05"</f>
        <v>992009TBMA05</v>
      </c>
      <c r="D274" t="s">
        <v>219</v>
      </c>
      <c r="F274" s="1">
        <v>11176.47</v>
      </c>
      <c r="G274" s="1">
        <v>1565441.02</v>
      </c>
    </row>
    <row r="275" spans="1:7" x14ac:dyDescent="0.25">
      <c r="A275" s="2">
        <v>42998</v>
      </c>
      <c r="B275" s="2">
        <v>42998</v>
      </c>
      <c r="C275" t="str">
        <f>"FT17263G67K6|103"</f>
        <v>FT17263G67K6|103</v>
      </c>
      <c r="D275" t="s">
        <v>220</v>
      </c>
      <c r="F275" s="1">
        <v>5788</v>
      </c>
      <c r="G275" s="1">
        <v>1571229.02</v>
      </c>
    </row>
    <row r="276" spans="1:7" x14ac:dyDescent="0.25">
      <c r="A276" s="2">
        <v>42998</v>
      </c>
      <c r="B276" s="2">
        <v>42998</v>
      </c>
      <c r="C276" t="str">
        <f>"013RTGS172630005|103"</f>
        <v>013RTGS172630005|103</v>
      </c>
      <c r="D276" t="s">
        <v>221</v>
      </c>
      <c r="F276" s="1">
        <v>4238</v>
      </c>
      <c r="G276" s="1">
        <v>1575467.02</v>
      </c>
    </row>
    <row r="277" spans="1:7" x14ac:dyDescent="0.25">
      <c r="A277" s="2">
        <v>42999</v>
      </c>
      <c r="B277" s="2">
        <v>42999</v>
      </c>
      <c r="C277" t="str">
        <f>"FT17264V13WF|103"</f>
        <v>FT17264V13WF|103</v>
      </c>
      <c r="D277" t="s">
        <v>222</v>
      </c>
      <c r="F277">
        <v>507</v>
      </c>
      <c r="G277" s="1">
        <v>1575974.02</v>
      </c>
    </row>
    <row r="278" spans="1:7" x14ac:dyDescent="0.25">
      <c r="A278" s="2">
        <v>42999</v>
      </c>
      <c r="B278" s="2">
        <v>42999</v>
      </c>
      <c r="C278" t="str">
        <f>"SE07801709211336|103"</f>
        <v>SE07801709211336|103</v>
      </c>
      <c r="D278" t="s">
        <v>223</v>
      </c>
      <c r="F278" s="1">
        <v>8507</v>
      </c>
      <c r="G278" s="1">
        <v>1584481.02</v>
      </c>
    </row>
    <row r="279" spans="1:7" x14ac:dyDescent="0.25">
      <c r="A279" s="2">
        <v>42999</v>
      </c>
      <c r="B279" s="2">
        <v>42999</v>
      </c>
      <c r="C279" t="str">
        <f>"3726303627|103"</f>
        <v>3726303627|103</v>
      </c>
      <c r="D279" t="s">
        <v>224</v>
      </c>
      <c r="F279" s="1">
        <v>5896</v>
      </c>
      <c r="G279" s="1">
        <v>1590377.02</v>
      </c>
    </row>
    <row r="280" spans="1:7" x14ac:dyDescent="0.25">
      <c r="A280" s="2">
        <v>42999</v>
      </c>
      <c r="B280" s="2">
        <v>42999</v>
      </c>
      <c r="C280" t="str">
        <f>"SE07801709210384|103"</f>
        <v>SE07801709210384|103</v>
      </c>
      <c r="D280" t="s">
        <v>225</v>
      </c>
      <c r="F280">
        <v>270</v>
      </c>
      <c r="G280" s="1">
        <v>1590647.02</v>
      </c>
    </row>
    <row r="281" spans="1:7" x14ac:dyDescent="0.25">
      <c r="A281" s="2">
        <v>42999</v>
      </c>
      <c r="B281" s="2">
        <v>42999</v>
      </c>
      <c r="C281" t="str">
        <f>"3726303626|103"</f>
        <v>3726303626|103</v>
      </c>
      <c r="D281" t="s">
        <v>226</v>
      </c>
      <c r="F281" s="1">
        <v>4647</v>
      </c>
      <c r="G281" s="1">
        <v>1595294.02</v>
      </c>
    </row>
    <row r="282" spans="1:7" x14ac:dyDescent="0.25">
      <c r="A282" s="2">
        <v>42999</v>
      </c>
      <c r="B282" s="2">
        <v>42999</v>
      </c>
      <c r="C282" t="str">
        <f>"991109TBMA12"</f>
        <v>991109TBMA12</v>
      </c>
      <c r="D282" t="s">
        <v>227</v>
      </c>
      <c r="E282">
        <v>1</v>
      </c>
      <c r="G282" s="1">
        <v>1595293.02</v>
      </c>
    </row>
    <row r="283" spans="1:7" x14ac:dyDescent="0.25">
      <c r="A283" s="2">
        <v>42999</v>
      </c>
      <c r="B283" s="2">
        <v>42999</v>
      </c>
      <c r="C283" t="str">
        <f>"SE07801709211780|103"</f>
        <v>SE07801709211780|103</v>
      </c>
      <c r="D283" t="s">
        <v>228</v>
      </c>
      <c r="F283" s="1">
        <v>1135</v>
      </c>
      <c r="G283" s="1">
        <v>1596428.02</v>
      </c>
    </row>
    <row r="284" spans="1:7" x14ac:dyDescent="0.25">
      <c r="A284" s="2">
        <v>42999</v>
      </c>
      <c r="B284" s="2">
        <v>42999</v>
      </c>
      <c r="C284" t="str">
        <f>"SE07801709211784|103"</f>
        <v>SE07801709211784|103</v>
      </c>
      <c r="D284" t="s">
        <v>229</v>
      </c>
      <c r="F284" s="1">
        <v>7766</v>
      </c>
      <c r="G284" s="1">
        <v>1604194.02</v>
      </c>
    </row>
    <row r="285" spans="1:7" x14ac:dyDescent="0.25">
      <c r="A285" s="2">
        <v>42999</v>
      </c>
      <c r="B285" s="2">
        <v>42999</v>
      </c>
      <c r="C285" t="str">
        <f>"3726401253|103"</f>
        <v>3726401253|103</v>
      </c>
      <c r="D285" t="s">
        <v>230</v>
      </c>
      <c r="F285" s="1">
        <v>14431</v>
      </c>
      <c r="G285" s="1">
        <v>1618625.02</v>
      </c>
    </row>
    <row r="286" spans="1:7" x14ac:dyDescent="0.25">
      <c r="A286" s="2">
        <v>42999</v>
      </c>
      <c r="B286" s="2">
        <v>42999</v>
      </c>
      <c r="C286" t="str">
        <f>"SE07801709211802|103"</f>
        <v>SE07801709211802|103</v>
      </c>
      <c r="D286" t="s">
        <v>231</v>
      </c>
      <c r="F286" s="1">
        <v>23036</v>
      </c>
      <c r="G286" s="1">
        <v>1641661.02</v>
      </c>
    </row>
    <row r="287" spans="1:7" x14ac:dyDescent="0.25">
      <c r="A287" s="2">
        <v>42999</v>
      </c>
      <c r="B287" s="2">
        <v>42999</v>
      </c>
      <c r="C287" t="str">
        <f>"SE07801709211800|103"</f>
        <v>SE07801709211800|103</v>
      </c>
      <c r="D287" t="s">
        <v>232</v>
      </c>
      <c r="F287" s="1">
        <v>2426</v>
      </c>
      <c r="G287" s="1">
        <v>1644087.02</v>
      </c>
    </row>
    <row r="288" spans="1:7" x14ac:dyDescent="0.25">
      <c r="A288" s="2">
        <v>42999</v>
      </c>
      <c r="B288" s="2">
        <v>42999</v>
      </c>
      <c r="C288" t="str">
        <f>"0001200221091715310034425"</f>
        <v>0001200221091715310034425</v>
      </c>
      <c r="D288" t="s">
        <v>110</v>
      </c>
      <c r="F288" s="1">
        <v>1988</v>
      </c>
      <c r="G288" s="1">
        <v>1646075.02</v>
      </c>
    </row>
    <row r="289" spans="1:7" x14ac:dyDescent="0.25">
      <c r="A289" s="2">
        <v>42999</v>
      </c>
      <c r="B289" s="2">
        <v>42999</v>
      </c>
      <c r="C289" t="str">
        <f>"0001200221091715590034491"</f>
        <v>0001200221091715590034491</v>
      </c>
      <c r="D289" t="s">
        <v>110</v>
      </c>
      <c r="F289" s="1">
        <v>1000</v>
      </c>
      <c r="G289" s="1">
        <v>1647075.02</v>
      </c>
    </row>
    <row r="290" spans="1:7" x14ac:dyDescent="0.25">
      <c r="A290" s="2">
        <v>42999</v>
      </c>
      <c r="B290" s="2">
        <v>42999</v>
      </c>
      <c r="C290" t="str">
        <f>"0001200221091715590034493"</f>
        <v>0001200221091715590034493</v>
      </c>
      <c r="D290" t="s">
        <v>110</v>
      </c>
      <c r="F290" s="1">
        <v>1050</v>
      </c>
      <c r="G290" s="1">
        <v>1648125.02</v>
      </c>
    </row>
    <row r="291" spans="1:7" x14ac:dyDescent="0.25">
      <c r="A291" s="2">
        <v>42999</v>
      </c>
      <c r="B291" s="2">
        <v>42999</v>
      </c>
      <c r="C291" t="str">
        <f>"0001200221091716000034496"</f>
        <v>0001200221091716000034496</v>
      </c>
      <c r="D291" t="s">
        <v>110</v>
      </c>
      <c r="F291">
        <v>393</v>
      </c>
      <c r="G291" s="1">
        <v>1648518.02</v>
      </c>
    </row>
    <row r="292" spans="1:7" x14ac:dyDescent="0.25">
      <c r="A292" s="2">
        <v>42999</v>
      </c>
      <c r="B292" s="2">
        <v>42999</v>
      </c>
      <c r="C292" t="str">
        <f>"0001200221091716010034497"</f>
        <v>0001200221091716010034497</v>
      </c>
      <c r="D292" t="s">
        <v>110</v>
      </c>
      <c r="F292">
        <v>896</v>
      </c>
      <c r="G292" s="1">
        <v>1649414.02</v>
      </c>
    </row>
    <row r="293" spans="1:7" x14ac:dyDescent="0.25">
      <c r="A293" s="2">
        <v>42999</v>
      </c>
      <c r="B293" s="2">
        <v>42999</v>
      </c>
      <c r="C293" t="str">
        <f>"992109TBMA03"</f>
        <v>992109TBMA03</v>
      </c>
      <c r="D293" t="s">
        <v>116</v>
      </c>
      <c r="E293">
        <v>1</v>
      </c>
      <c r="G293" s="1">
        <v>1649413.02</v>
      </c>
    </row>
    <row r="294" spans="1:7" x14ac:dyDescent="0.25">
      <c r="A294" s="2">
        <v>42999</v>
      </c>
      <c r="B294" s="2">
        <v>42999</v>
      </c>
      <c r="C294" t="str">
        <f>"FT17264YLCLG|103"</f>
        <v>FT17264YLCLG|103</v>
      </c>
      <c r="D294" t="s">
        <v>233</v>
      </c>
      <c r="F294" s="1">
        <v>1667.96</v>
      </c>
      <c r="G294" s="1">
        <v>1651080.98</v>
      </c>
    </row>
    <row r="295" spans="1:7" x14ac:dyDescent="0.25">
      <c r="A295" s="2">
        <v>43000</v>
      </c>
      <c r="B295" s="2">
        <v>43000</v>
      </c>
      <c r="C295" t="str">
        <f>"0001203922091706310029623"</f>
        <v>0001203922091706310029623</v>
      </c>
      <c r="D295" t="s">
        <v>110</v>
      </c>
      <c r="F295">
        <v>25</v>
      </c>
      <c r="G295" s="1">
        <v>1651105.98</v>
      </c>
    </row>
    <row r="296" spans="1:7" x14ac:dyDescent="0.25">
      <c r="A296" s="2">
        <v>43000</v>
      </c>
      <c r="B296" s="2">
        <v>43000</v>
      </c>
      <c r="C296" t="str">
        <f>"0001203922091706330029628"</f>
        <v>0001203922091706330029628</v>
      </c>
      <c r="D296" t="s">
        <v>234</v>
      </c>
      <c r="F296">
        <v>7</v>
      </c>
      <c r="G296" s="1">
        <v>1651112.98</v>
      </c>
    </row>
    <row r="297" spans="1:7" x14ac:dyDescent="0.25">
      <c r="A297" s="2">
        <v>43000</v>
      </c>
      <c r="B297" s="2">
        <v>43000</v>
      </c>
      <c r="C297" t="str">
        <f>"0001200222091711020034811"</f>
        <v>0001200222091711020034811</v>
      </c>
      <c r="D297" t="s">
        <v>211</v>
      </c>
      <c r="E297" s="1">
        <v>13540</v>
      </c>
      <c r="G297" s="1">
        <v>1637572.98</v>
      </c>
    </row>
    <row r="298" spans="1:7" x14ac:dyDescent="0.25">
      <c r="A298" s="2">
        <v>43000</v>
      </c>
      <c r="B298" s="2">
        <v>43000</v>
      </c>
      <c r="C298" t="str">
        <f>"FT17265B92L7|103"</f>
        <v>FT17265B92L7|103</v>
      </c>
      <c r="D298" t="s">
        <v>235</v>
      </c>
      <c r="F298" s="1">
        <v>48956</v>
      </c>
      <c r="G298" s="1">
        <v>1686528.98</v>
      </c>
    </row>
    <row r="299" spans="1:7" x14ac:dyDescent="0.25">
      <c r="A299" s="2">
        <v>43000</v>
      </c>
      <c r="B299" s="2">
        <v>43000</v>
      </c>
      <c r="C299" t="str">
        <f>"3726501253|103"</f>
        <v>3726501253|103</v>
      </c>
      <c r="D299" t="s">
        <v>236</v>
      </c>
      <c r="F299" s="1">
        <v>7006</v>
      </c>
      <c r="G299" s="1">
        <v>1693534.98</v>
      </c>
    </row>
    <row r="300" spans="1:7" x14ac:dyDescent="0.25">
      <c r="A300" s="2">
        <v>43000</v>
      </c>
      <c r="B300" s="2">
        <v>43000</v>
      </c>
      <c r="C300" t="str">
        <f>"3726501655|103"</f>
        <v>3726501655|103</v>
      </c>
      <c r="D300" t="s">
        <v>237</v>
      </c>
      <c r="F300" s="1">
        <v>5664</v>
      </c>
      <c r="G300" s="1">
        <v>1699198.98</v>
      </c>
    </row>
    <row r="301" spans="1:7" x14ac:dyDescent="0.25">
      <c r="A301" s="2">
        <v>43000</v>
      </c>
      <c r="B301" s="2">
        <v>43004</v>
      </c>
      <c r="C301" t="str">
        <f>"0001203822091713310015788"</f>
        <v>0001203822091713310015788</v>
      </c>
      <c r="D301" t="s">
        <v>238</v>
      </c>
      <c r="E301" s="1">
        <v>1736</v>
      </c>
      <c r="G301" s="1">
        <v>1697462.98</v>
      </c>
    </row>
    <row r="302" spans="1:7" x14ac:dyDescent="0.25">
      <c r="A302" s="2">
        <v>43000</v>
      </c>
      <c r="B302" s="2">
        <v>43000</v>
      </c>
      <c r="C302" t="str">
        <f>"0001200222091715080035153"</f>
        <v>0001200222091715080035153</v>
      </c>
      <c r="D302" t="s">
        <v>110</v>
      </c>
      <c r="F302">
        <v>22</v>
      </c>
      <c r="G302" s="1">
        <v>1697484.98</v>
      </c>
    </row>
    <row r="303" spans="1:7" x14ac:dyDescent="0.25">
      <c r="A303" s="2">
        <v>43000</v>
      </c>
      <c r="B303" s="2">
        <v>43000</v>
      </c>
      <c r="C303" t="str">
        <f>"0001200322091715260084853"</f>
        <v>0001200322091715260084853</v>
      </c>
      <c r="D303" t="s">
        <v>211</v>
      </c>
      <c r="E303" s="1">
        <v>14201</v>
      </c>
      <c r="G303" s="1">
        <v>1683283.98</v>
      </c>
    </row>
    <row r="304" spans="1:7" x14ac:dyDescent="0.25">
      <c r="A304" s="2">
        <v>43000</v>
      </c>
      <c r="B304" s="2">
        <v>43000</v>
      </c>
      <c r="C304" t="str">
        <f>"SE07801709223976|103"</f>
        <v>SE07801709223976|103</v>
      </c>
      <c r="D304" t="s">
        <v>239</v>
      </c>
      <c r="F304" s="1">
        <v>3624</v>
      </c>
      <c r="G304" s="1">
        <v>1686907.98</v>
      </c>
    </row>
    <row r="305" spans="1:7" x14ac:dyDescent="0.25">
      <c r="A305" s="2">
        <v>43000</v>
      </c>
      <c r="B305" s="2">
        <v>43000</v>
      </c>
      <c r="C305" t="str">
        <f>"6393600265FC|103"</f>
        <v>6393600265FC|103</v>
      </c>
      <c r="D305" t="s">
        <v>240</v>
      </c>
      <c r="E305">
        <v>10</v>
      </c>
      <c r="G305" s="1">
        <v>1686897.98</v>
      </c>
    </row>
    <row r="306" spans="1:7" x14ac:dyDescent="0.25">
      <c r="A306" s="2">
        <v>43000</v>
      </c>
      <c r="B306" s="2">
        <v>43000</v>
      </c>
      <c r="C306" t="str">
        <f>"4429700265FC|103"</f>
        <v>4429700265FC|103</v>
      </c>
      <c r="D306" t="s">
        <v>241</v>
      </c>
      <c r="E306">
        <v>10</v>
      </c>
      <c r="G306" s="1">
        <v>1686887.98</v>
      </c>
    </row>
    <row r="307" spans="1:7" x14ac:dyDescent="0.25">
      <c r="A307" s="2">
        <v>43000</v>
      </c>
      <c r="B307" s="2">
        <v>43000</v>
      </c>
      <c r="C307" t="str">
        <f>"6393600265FC|103"</f>
        <v>6393600265FC|103</v>
      </c>
      <c r="D307" t="s">
        <v>242</v>
      </c>
      <c r="F307" s="1">
        <v>2426</v>
      </c>
      <c r="G307" s="1">
        <v>1689313.98</v>
      </c>
    </row>
    <row r="308" spans="1:7" x14ac:dyDescent="0.25">
      <c r="A308" s="2">
        <v>43000</v>
      </c>
      <c r="B308" s="2">
        <v>43000</v>
      </c>
      <c r="C308" t="str">
        <f>"4429700265FC|103"</f>
        <v>4429700265FC|103</v>
      </c>
      <c r="D308" t="s">
        <v>243</v>
      </c>
      <c r="F308" s="1">
        <v>4746</v>
      </c>
      <c r="G308" s="1">
        <v>1694059.98</v>
      </c>
    </row>
    <row r="309" spans="1:7" x14ac:dyDescent="0.25">
      <c r="A309" s="2">
        <v>43000</v>
      </c>
      <c r="B309" s="2">
        <v>43004</v>
      </c>
      <c r="C309" t="str">
        <f>"0001203822091717270015973"</f>
        <v>0001203822091717270015973</v>
      </c>
      <c r="D309" t="s">
        <v>244</v>
      </c>
      <c r="F309" s="1">
        <v>1736</v>
      </c>
      <c r="G309" s="1">
        <v>1695795.98</v>
      </c>
    </row>
    <row r="310" spans="1:7" x14ac:dyDescent="0.25">
      <c r="A310" s="2">
        <v>43000</v>
      </c>
      <c r="B310" s="2">
        <v>43000</v>
      </c>
      <c r="C310" t="str">
        <f t="shared" ref="C310:C315" si="2">"992209TBMA02"</f>
        <v>992209TBMA02</v>
      </c>
      <c r="D310" t="s">
        <v>245</v>
      </c>
      <c r="E310">
        <v>1</v>
      </c>
      <c r="G310" s="1">
        <v>1695794.98</v>
      </c>
    </row>
    <row r="311" spans="1:7" x14ac:dyDescent="0.25">
      <c r="A311" s="2">
        <v>43000</v>
      </c>
      <c r="B311" s="2">
        <v>43000</v>
      </c>
      <c r="C311" t="str">
        <f t="shared" si="2"/>
        <v>992209TBMA02</v>
      </c>
      <c r="D311" t="s">
        <v>246</v>
      </c>
      <c r="E311">
        <v>10</v>
      </c>
      <c r="G311" s="1">
        <v>1695784.98</v>
      </c>
    </row>
    <row r="312" spans="1:7" x14ac:dyDescent="0.25">
      <c r="A312" s="2">
        <v>43000</v>
      </c>
      <c r="B312" s="2">
        <v>43000</v>
      </c>
      <c r="C312" t="str">
        <f t="shared" si="2"/>
        <v>992209TBMA02</v>
      </c>
      <c r="D312" t="s">
        <v>245</v>
      </c>
      <c r="F312" s="1">
        <v>19244</v>
      </c>
      <c r="G312" s="1">
        <v>1715028.98</v>
      </c>
    </row>
    <row r="313" spans="1:7" x14ac:dyDescent="0.25">
      <c r="A313" s="2">
        <v>43000</v>
      </c>
      <c r="B313" s="2">
        <v>43000</v>
      </c>
      <c r="C313" t="str">
        <f t="shared" si="2"/>
        <v>992209TBMA02</v>
      </c>
      <c r="D313" t="s">
        <v>245</v>
      </c>
      <c r="E313">
        <v>10</v>
      </c>
      <c r="G313" s="1">
        <v>1715018.98</v>
      </c>
    </row>
    <row r="314" spans="1:7" x14ac:dyDescent="0.25">
      <c r="A314" s="2">
        <v>43000</v>
      </c>
      <c r="B314" s="2">
        <v>43000</v>
      </c>
      <c r="C314" t="str">
        <f t="shared" si="2"/>
        <v>992209TBMA02</v>
      </c>
      <c r="D314" t="s">
        <v>246</v>
      </c>
      <c r="F314" s="1">
        <v>4217</v>
      </c>
      <c r="G314" s="1">
        <v>1719235.98</v>
      </c>
    </row>
    <row r="315" spans="1:7" x14ac:dyDescent="0.25">
      <c r="A315" s="2">
        <v>43000</v>
      </c>
      <c r="B315" s="2">
        <v>43000</v>
      </c>
      <c r="C315" t="str">
        <f t="shared" si="2"/>
        <v>992209TBMA02</v>
      </c>
      <c r="D315" t="s">
        <v>246</v>
      </c>
      <c r="E315">
        <v>1</v>
      </c>
      <c r="G315" s="1">
        <v>1719234.98</v>
      </c>
    </row>
    <row r="316" spans="1:7" x14ac:dyDescent="0.25">
      <c r="A316" s="2">
        <v>43000</v>
      </c>
      <c r="B316" s="2">
        <v>43000</v>
      </c>
      <c r="C316" t="str">
        <f>"0001209922091719580562342"</f>
        <v>0001209922091719580562342</v>
      </c>
      <c r="D316" t="s">
        <v>247</v>
      </c>
      <c r="E316" s="1">
        <v>3768</v>
      </c>
      <c r="G316" s="1">
        <v>1715466.98</v>
      </c>
    </row>
    <row r="317" spans="1:7" x14ac:dyDescent="0.25">
      <c r="A317" s="2">
        <v>43000</v>
      </c>
      <c r="B317" s="2">
        <v>43000</v>
      </c>
      <c r="C317" t="str">
        <f>"0001209922091719580562342"</f>
        <v>0001209922091719580562342</v>
      </c>
      <c r="D317" t="s">
        <v>248</v>
      </c>
      <c r="E317">
        <v>14.52</v>
      </c>
      <c r="G317" s="1">
        <v>1715452.46</v>
      </c>
    </row>
    <row r="318" spans="1:7" x14ac:dyDescent="0.25">
      <c r="A318" s="2">
        <v>43000</v>
      </c>
      <c r="B318" s="2">
        <v>43000</v>
      </c>
      <c r="C318" t="str">
        <f>"0001209922091719580562342"</f>
        <v>0001209922091719580562342</v>
      </c>
      <c r="D318" t="s">
        <v>249</v>
      </c>
      <c r="E318">
        <v>1.45</v>
      </c>
      <c r="G318" s="1">
        <v>1715451.01</v>
      </c>
    </row>
    <row r="319" spans="1:7" x14ac:dyDescent="0.25">
      <c r="A319" s="2">
        <v>43001</v>
      </c>
      <c r="B319" s="2">
        <v>43001</v>
      </c>
      <c r="C319" t="str">
        <f>"0001203923091707370031694"</f>
        <v>0001203923091707370031694</v>
      </c>
      <c r="D319" t="s">
        <v>250</v>
      </c>
      <c r="F319">
        <v>16</v>
      </c>
      <c r="G319" s="1">
        <v>1715467.01</v>
      </c>
    </row>
    <row r="320" spans="1:7" x14ac:dyDescent="0.25">
      <c r="A320" s="2">
        <v>43003</v>
      </c>
      <c r="B320" s="2">
        <v>43001</v>
      </c>
      <c r="C320" t="str">
        <f>"00106831  "</f>
        <v xml:space="preserve">00106831  </v>
      </c>
      <c r="D320" t="s">
        <v>251</v>
      </c>
      <c r="E320" s="1">
        <v>1963</v>
      </c>
      <c r="G320" s="1">
        <v>1713504.01</v>
      </c>
    </row>
    <row r="321" spans="1:7" x14ac:dyDescent="0.25">
      <c r="A321" s="2">
        <v>43003</v>
      </c>
      <c r="B321" s="2">
        <v>43003</v>
      </c>
      <c r="C321" t="str">
        <f>"00106821  "</f>
        <v xml:space="preserve">00106821  </v>
      </c>
      <c r="D321" t="s">
        <v>252</v>
      </c>
      <c r="E321" s="1">
        <v>2012</v>
      </c>
      <c r="G321" s="1">
        <v>1711492.01</v>
      </c>
    </row>
    <row r="322" spans="1:7" x14ac:dyDescent="0.25">
      <c r="A322" s="2">
        <v>43003</v>
      </c>
      <c r="B322" s="2">
        <v>43003</v>
      </c>
      <c r="C322" t="str">
        <f>"902509AKKH03"</f>
        <v>902509AKKH03</v>
      </c>
      <c r="D322" t="s">
        <v>253</v>
      </c>
      <c r="E322" s="1">
        <v>1736</v>
      </c>
      <c r="G322" s="1">
        <v>1709756.01</v>
      </c>
    </row>
    <row r="323" spans="1:7" x14ac:dyDescent="0.25">
      <c r="A323" s="2">
        <v>43003</v>
      </c>
      <c r="B323" s="2">
        <v>43003</v>
      </c>
      <c r="C323" t="str">
        <f>"022FT10172640006|103"</f>
        <v>022FT10172640006|103</v>
      </c>
      <c r="D323" t="s">
        <v>254</v>
      </c>
      <c r="F323" s="1">
        <v>7600.57</v>
      </c>
      <c r="G323" s="1">
        <v>1717356.58</v>
      </c>
    </row>
    <row r="324" spans="1:7" x14ac:dyDescent="0.25">
      <c r="A324" s="2">
        <v>43003</v>
      </c>
      <c r="B324" s="2">
        <v>43003</v>
      </c>
      <c r="C324" t="str">
        <f>"022FT10172640039|103"</f>
        <v>022FT10172640039|103</v>
      </c>
      <c r="D324" t="s">
        <v>255</v>
      </c>
      <c r="F324" s="1">
        <v>7844</v>
      </c>
      <c r="G324" s="1">
        <v>1725200.58</v>
      </c>
    </row>
    <row r="325" spans="1:7" x14ac:dyDescent="0.25">
      <c r="A325" s="2">
        <v>43003</v>
      </c>
      <c r="B325" s="2">
        <v>43003</v>
      </c>
      <c r="C325" t="str">
        <f>"992509FNOB01"</f>
        <v>992509FNOB01</v>
      </c>
      <c r="D325" t="s">
        <v>256</v>
      </c>
      <c r="E325">
        <v>1</v>
      </c>
      <c r="G325" s="1">
        <v>1725199.58</v>
      </c>
    </row>
    <row r="326" spans="1:7" x14ac:dyDescent="0.25">
      <c r="A326" s="2">
        <v>43003</v>
      </c>
      <c r="B326" s="2">
        <v>43003</v>
      </c>
      <c r="C326" t="str">
        <f>"992509TBMA00"</f>
        <v>992509TBMA00</v>
      </c>
      <c r="D326" t="s">
        <v>257</v>
      </c>
      <c r="E326">
        <v>1</v>
      </c>
      <c r="G326" s="1">
        <v>1725198.58</v>
      </c>
    </row>
    <row r="327" spans="1:7" x14ac:dyDescent="0.25">
      <c r="A327" s="2">
        <v>43003</v>
      </c>
      <c r="B327" s="2">
        <v>43003</v>
      </c>
      <c r="C327" t="str">
        <f>"992509TBMA01"</f>
        <v>992509TBMA01</v>
      </c>
      <c r="D327">
        <v>2020010734700</v>
      </c>
      <c r="E327">
        <v>1</v>
      </c>
      <c r="G327" s="1">
        <v>1725197.58</v>
      </c>
    </row>
    <row r="328" spans="1:7" x14ac:dyDescent="0.25">
      <c r="A328" s="2">
        <v>43003</v>
      </c>
      <c r="B328" s="2">
        <v>43003</v>
      </c>
      <c r="C328" t="str">
        <f>"3726802033|103"</f>
        <v>3726802033|103</v>
      </c>
      <c r="D328" t="s">
        <v>258</v>
      </c>
      <c r="F328" s="1">
        <v>28333.53</v>
      </c>
      <c r="G328" s="1">
        <v>1753531.11</v>
      </c>
    </row>
    <row r="329" spans="1:7" x14ac:dyDescent="0.25">
      <c r="A329" s="2">
        <v>43003</v>
      </c>
      <c r="B329" s="2">
        <v>43003</v>
      </c>
      <c r="C329" t="str">
        <f>"0001209125091715030008444"</f>
        <v>0001209125091715030008444</v>
      </c>
      <c r="D329" t="s">
        <v>211</v>
      </c>
      <c r="E329" s="1">
        <v>16244</v>
      </c>
      <c r="G329" s="1">
        <v>1737287.11</v>
      </c>
    </row>
    <row r="330" spans="1:7" x14ac:dyDescent="0.25">
      <c r="A330" s="2">
        <v>43003</v>
      </c>
      <c r="B330" s="2">
        <v>43003</v>
      </c>
      <c r="C330" t="str">
        <f>"0001200225091715210036465"</f>
        <v>0001200225091715210036465</v>
      </c>
      <c r="D330" t="s">
        <v>110</v>
      </c>
      <c r="F330">
        <v>18</v>
      </c>
      <c r="G330" s="1">
        <v>1737305.11</v>
      </c>
    </row>
    <row r="331" spans="1:7" x14ac:dyDescent="0.25">
      <c r="A331" s="2">
        <v>43003</v>
      </c>
      <c r="B331" s="2">
        <v>43003</v>
      </c>
      <c r="C331" t="str">
        <f>"0001200225091715210036466"</f>
        <v>0001200225091715210036466</v>
      </c>
      <c r="D331" t="s">
        <v>110</v>
      </c>
      <c r="F331">
        <v>200</v>
      </c>
      <c r="G331" s="1">
        <v>1737505.11</v>
      </c>
    </row>
    <row r="332" spans="1:7" x14ac:dyDescent="0.25">
      <c r="A332" s="2">
        <v>43003</v>
      </c>
      <c r="B332" s="2">
        <v>43003</v>
      </c>
      <c r="C332" t="str">
        <f>"0001200225091715220036467"</f>
        <v>0001200225091715220036467</v>
      </c>
      <c r="D332" t="s">
        <v>110</v>
      </c>
      <c r="F332">
        <v>200</v>
      </c>
      <c r="G332" s="1">
        <v>1737705.11</v>
      </c>
    </row>
    <row r="333" spans="1:7" x14ac:dyDescent="0.25">
      <c r="A333" s="2">
        <v>43003</v>
      </c>
      <c r="B333" s="2">
        <v>43003</v>
      </c>
      <c r="C333" t="str">
        <f>"FT17268GNTX2|103"</f>
        <v>FT17268GNTX2|103</v>
      </c>
      <c r="D333" t="s">
        <v>259</v>
      </c>
      <c r="F333" s="1">
        <v>6600</v>
      </c>
      <c r="G333" s="1">
        <v>1744305.11</v>
      </c>
    </row>
    <row r="334" spans="1:7" x14ac:dyDescent="0.25">
      <c r="A334" s="2">
        <v>43003</v>
      </c>
      <c r="B334" s="2">
        <v>43003</v>
      </c>
      <c r="C334" t="str">
        <f>"FT172685VRT4|103"</f>
        <v>FT172685VRT4|103</v>
      </c>
      <c r="D334" t="s">
        <v>260</v>
      </c>
      <c r="F334" s="1">
        <v>1413</v>
      </c>
      <c r="G334" s="1">
        <v>1745718.11</v>
      </c>
    </row>
    <row r="335" spans="1:7" x14ac:dyDescent="0.25">
      <c r="A335" s="2">
        <v>43003</v>
      </c>
      <c r="B335" s="2">
        <v>43003</v>
      </c>
      <c r="C335" t="str">
        <f>"SE0780170925B562|103"</f>
        <v>SE0780170925B562|103</v>
      </c>
      <c r="D335" t="s">
        <v>261</v>
      </c>
      <c r="F335" s="1">
        <v>1470</v>
      </c>
      <c r="G335" s="1">
        <v>1747188.11</v>
      </c>
    </row>
    <row r="336" spans="1:7" x14ac:dyDescent="0.25">
      <c r="A336" s="2">
        <v>43003</v>
      </c>
      <c r="B336" s="2">
        <v>43003</v>
      </c>
      <c r="C336" t="str">
        <f>"SE0780170925A869|103"</f>
        <v>SE0780170925A869|103</v>
      </c>
      <c r="D336" t="s">
        <v>262</v>
      </c>
      <c r="F336" s="1">
        <v>3800</v>
      </c>
      <c r="G336" s="1">
        <v>1750988.11</v>
      </c>
    </row>
    <row r="337" spans="1:7" x14ac:dyDescent="0.25">
      <c r="A337" s="2">
        <v>43003</v>
      </c>
      <c r="B337" s="2">
        <v>43003</v>
      </c>
      <c r="C337" t="str">
        <f>"00000000"</f>
        <v>00000000</v>
      </c>
      <c r="D337" t="s">
        <v>263</v>
      </c>
      <c r="F337" s="1">
        <v>8877</v>
      </c>
      <c r="G337" s="1">
        <v>1759865.11</v>
      </c>
    </row>
    <row r="338" spans="1:7" x14ac:dyDescent="0.25">
      <c r="A338" s="2">
        <v>43003</v>
      </c>
      <c r="B338" s="2">
        <v>43003</v>
      </c>
      <c r="C338" t="str">
        <f>"00000000"</f>
        <v>00000000</v>
      </c>
      <c r="D338" t="s">
        <v>264</v>
      </c>
      <c r="F338" s="1">
        <v>4013</v>
      </c>
      <c r="G338" s="1">
        <v>1763878.11</v>
      </c>
    </row>
    <row r="339" spans="1:7" x14ac:dyDescent="0.25">
      <c r="A339" s="2">
        <v>43003</v>
      </c>
      <c r="B339" s="2">
        <v>43003</v>
      </c>
      <c r="C339" t="str">
        <f>"00000000"</f>
        <v>00000000</v>
      </c>
      <c r="D339" t="s">
        <v>265</v>
      </c>
      <c r="F339">
        <v>290</v>
      </c>
      <c r="G339" s="1">
        <v>1764168.11</v>
      </c>
    </row>
    <row r="340" spans="1:7" x14ac:dyDescent="0.25">
      <c r="A340" s="2">
        <v>43003</v>
      </c>
      <c r="B340" s="2">
        <v>43003</v>
      </c>
      <c r="C340" t="str">
        <f>"992509TBMA09"</f>
        <v>992509TBMA09</v>
      </c>
      <c r="D340" t="s">
        <v>266</v>
      </c>
      <c r="E340">
        <v>1</v>
      </c>
      <c r="G340" s="1">
        <v>1764167.11</v>
      </c>
    </row>
    <row r="341" spans="1:7" x14ac:dyDescent="0.25">
      <c r="A341" s="2">
        <v>43003</v>
      </c>
      <c r="B341" s="2">
        <v>43003</v>
      </c>
      <c r="C341" t="str">
        <f>"992509TBMA09"</f>
        <v>992509TBMA09</v>
      </c>
      <c r="D341" t="s">
        <v>267</v>
      </c>
      <c r="E341">
        <v>1</v>
      </c>
      <c r="G341" s="1">
        <v>1764166.11</v>
      </c>
    </row>
    <row r="342" spans="1:7" x14ac:dyDescent="0.25">
      <c r="A342" s="2">
        <v>43004</v>
      </c>
      <c r="B342" s="2">
        <v>43004</v>
      </c>
      <c r="C342" t="str">
        <f>"F60925215321001|103"</f>
        <v>F60925215321001|103</v>
      </c>
      <c r="D342" t="s">
        <v>268</v>
      </c>
      <c r="E342">
        <v>10</v>
      </c>
      <c r="G342" s="1">
        <v>1764156.11</v>
      </c>
    </row>
    <row r="343" spans="1:7" x14ac:dyDescent="0.25">
      <c r="A343" s="2">
        <v>43004</v>
      </c>
      <c r="B343" s="2">
        <v>43004</v>
      </c>
      <c r="C343" t="str">
        <f>"SE07801709262514|103"</f>
        <v>SE07801709262514|103</v>
      </c>
      <c r="D343" t="s">
        <v>269</v>
      </c>
      <c r="F343" s="1">
        <v>3154</v>
      </c>
      <c r="G343" s="1">
        <v>1767310.11</v>
      </c>
    </row>
    <row r="344" spans="1:7" x14ac:dyDescent="0.25">
      <c r="A344" s="2">
        <v>43004</v>
      </c>
      <c r="B344" s="2">
        <v>43004</v>
      </c>
      <c r="C344" t="str">
        <f>"999ORTGS5690717|103"</f>
        <v>999ORTGS5690717|103</v>
      </c>
      <c r="D344" t="s">
        <v>270</v>
      </c>
      <c r="F344">
        <v>661</v>
      </c>
      <c r="G344" s="1">
        <v>1767971.11</v>
      </c>
    </row>
    <row r="345" spans="1:7" x14ac:dyDescent="0.25">
      <c r="A345" s="2">
        <v>43004</v>
      </c>
      <c r="B345" s="2">
        <v>43004</v>
      </c>
      <c r="C345" t="str">
        <f>"022FT10172650007|103"</f>
        <v>022FT10172650007|103</v>
      </c>
      <c r="D345" t="s">
        <v>271</v>
      </c>
      <c r="F345">
        <v>480</v>
      </c>
      <c r="G345" s="1">
        <v>1768451.11</v>
      </c>
    </row>
    <row r="346" spans="1:7" x14ac:dyDescent="0.25">
      <c r="A346" s="2">
        <v>43004</v>
      </c>
      <c r="B346" s="2">
        <v>43004</v>
      </c>
      <c r="C346" t="str">
        <f>"F60925215321001|103"</f>
        <v>F60925215321001|103</v>
      </c>
      <c r="D346" t="s">
        <v>272</v>
      </c>
      <c r="F346" s="1">
        <v>6242</v>
      </c>
      <c r="G346" s="1">
        <v>1774693.11</v>
      </c>
    </row>
    <row r="347" spans="1:7" x14ac:dyDescent="0.25">
      <c r="A347" s="2">
        <v>43004</v>
      </c>
      <c r="B347" s="2">
        <v>43004</v>
      </c>
      <c r="C347" t="str">
        <f>"00000000"</f>
        <v>00000000</v>
      </c>
      <c r="D347" t="s">
        <v>273</v>
      </c>
      <c r="F347">
        <v>520</v>
      </c>
      <c r="G347" s="1">
        <v>1775213.11</v>
      </c>
    </row>
    <row r="348" spans="1:7" x14ac:dyDescent="0.25">
      <c r="A348" s="2">
        <v>43004</v>
      </c>
      <c r="B348" s="2">
        <v>43004</v>
      </c>
      <c r="C348" t="str">
        <f>"0001200226091714580037032"</f>
        <v>0001200226091714580037032</v>
      </c>
      <c r="D348" t="s">
        <v>274</v>
      </c>
      <c r="F348">
        <v>69</v>
      </c>
      <c r="G348" s="1">
        <v>1775282.11</v>
      </c>
    </row>
    <row r="349" spans="1:7" x14ac:dyDescent="0.25">
      <c r="A349" s="2">
        <v>43004</v>
      </c>
      <c r="B349" s="2">
        <v>43004</v>
      </c>
      <c r="C349" t="str">
        <f>"0001200226091715040037042"</f>
        <v>0001200226091715040037042</v>
      </c>
      <c r="D349" t="s">
        <v>274</v>
      </c>
      <c r="F349">
        <v>150</v>
      </c>
      <c r="G349" s="1">
        <v>1775432.11</v>
      </c>
    </row>
    <row r="350" spans="1:7" x14ac:dyDescent="0.25">
      <c r="A350" s="2">
        <v>43004</v>
      </c>
      <c r="B350" s="2">
        <v>43004</v>
      </c>
      <c r="C350" t="str">
        <f>"0001200226091715180037070"</f>
        <v>0001200226091715180037070</v>
      </c>
      <c r="D350" t="s">
        <v>275</v>
      </c>
      <c r="E350" s="1">
        <v>12315</v>
      </c>
      <c r="G350" s="1">
        <v>1763117.11</v>
      </c>
    </row>
    <row r="351" spans="1:7" x14ac:dyDescent="0.25">
      <c r="A351" s="2">
        <v>43004</v>
      </c>
      <c r="B351" s="2">
        <v>43004</v>
      </c>
      <c r="C351" t="str">
        <f>"SE07801709264260|103"</f>
        <v>SE07801709264260|103</v>
      </c>
      <c r="D351" t="s">
        <v>276</v>
      </c>
      <c r="F351" s="1">
        <v>7190</v>
      </c>
      <c r="G351" s="1">
        <v>1770307.11</v>
      </c>
    </row>
    <row r="352" spans="1:7" x14ac:dyDescent="0.25">
      <c r="A352" s="2">
        <v>43005</v>
      </c>
      <c r="B352" s="2">
        <v>43005</v>
      </c>
      <c r="C352" t="str">
        <f>"00106838  "</f>
        <v xml:space="preserve">00106838  </v>
      </c>
      <c r="D352" t="s">
        <v>277</v>
      </c>
      <c r="E352">
        <v>130</v>
      </c>
      <c r="G352" s="1">
        <v>1770177.11</v>
      </c>
    </row>
    <row r="353" spans="1:7" x14ac:dyDescent="0.25">
      <c r="A353" s="2">
        <v>43005</v>
      </c>
      <c r="B353" s="2">
        <v>43005</v>
      </c>
      <c r="C353" t="str">
        <f>"FT17270171QG|103"</f>
        <v>FT17270171QG|103</v>
      </c>
      <c r="D353" t="s">
        <v>278</v>
      </c>
      <c r="F353">
        <v>196</v>
      </c>
      <c r="G353" s="1">
        <v>1770373.11</v>
      </c>
    </row>
    <row r="354" spans="1:7" x14ac:dyDescent="0.25">
      <c r="A354" s="2">
        <v>43005</v>
      </c>
      <c r="B354" s="2">
        <v>43005</v>
      </c>
      <c r="C354" t="str">
        <f>"HBKG17I26O479304|103"</f>
        <v>HBKG17I26O479304|103</v>
      </c>
      <c r="D354" t="s">
        <v>279</v>
      </c>
      <c r="F354" s="1">
        <v>1638</v>
      </c>
      <c r="G354" s="1">
        <v>1772011.11</v>
      </c>
    </row>
    <row r="355" spans="1:7" x14ac:dyDescent="0.25">
      <c r="A355" s="2">
        <v>43005</v>
      </c>
      <c r="B355" s="2">
        <v>43005</v>
      </c>
      <c r="C355" t="str">
        <f>"F50926601832000|103"</f>
        <v>F50926601832000|103</v>
      </c>
      <c r="D355" t="s">
        <v>280</v>
      </c>
      <c r="F355" s="1">
        <v>8282</v>
      </c>
      <c r="G355" s="1">
        <v>1780293.11</v>
      </c>
    </row>
    <row r="356" spans="1:7" x14ac:dyDescent="0.25">
      <c r="A356" s="2">
        <v>43005</v>
      </c>
      <c r="B356" s="2">
        <v>43005</v>
      </c>
      <c r="C356" t="str">
        <f>"022FT10172680107|103"</f>
        <v>022FT10172680107|103</v>
      </c>
      <c r="D356" t="s">
        <v>281</v>
      </c>
      <c r="F356">
        <v>840</v>
      </c>
      <c r="G356" s="1">
        <v>1781133.11</v>
      </c>
    </row>
    <row r="357" spans="1:7" x14ac:dyDescent="0.25">
      <c r="A357" s="2">
        <v>43005</v>
      </c>
      <c r="B357" s="2">
        <v>43005</v>
      </c>
      <c r="C357" t="str">
        <f>"C189141OCP092617|103"</f>
        <v>C189141OCP092617|103</v>
      </c>
      <c r="D357" t="s">
        <v>282</v>
      </c>
      <c r="F357">
        <v>140</v>
      </c>
      <c r="G357" s="1">
        <v>1781273.11</v>
      </c>
    </row>
    <row r="358" spans="1:7" x14ac:dyDescent="0.25">
      <c r="A358" s="2">
        <v>43005</v>
      </c>
      <c r="B358" s="2">
        <v>43005</v>
      </c>
      <c r="C358" t="str">
        <f>"S0672691504001|103"</f>
        <v>S0672691504001|103</v>
      </c>
      <c r="D358" t="s">
        <v>283</v>
      </c>
      <c r="F358" s="1">
        <v>47746</v>
      </c>
      <c r="G358" s="1">
        <v>1829019.11</v>
      </c>
    </row>
    <row r="359" spans="1:7" x14ac:dyDescent="0.25">
      <c r="A359" s="2">
        <v>43005</v>
      </c>
      <c r="B359" s="2">
        <v>43005</v>
      </c>
      <c r="C359" t="str">
        <f>"F50926601832000|103"</f>
        <v>F50926601832000|103</v>
      </c>
      <c r="D359" t="s">
        <v>284</v>
      </c>
      <c r="E359">
        <v>10</v>
      </c>
      <c r="G359" s="1">
        <v>1829009.11</v>
      </c>
    </row>
    <row r="360" spans="1:7" x14ac:dyDescent="0.25">
      <c r="A360" s="2">
        <v>43005</v>
      </c>
      <c r="B360" s="2">
        <v>43005</v>
      </c>
      <c r="C360" t="str">
        <f>"992709TBMA02"</f>
        <v>992709TBMA02</v>
      </c>
      <c r="D360" t="s">
        <v>285</v>
      </c>
      <c r="E360">
        <v>1</v>
      </c>
      <c r="G360" s="1">
        <v>1829008.11</v>
      </c>
    </row>
    <row r="361" spans="1:7" x14ac:dyDescent="0.25">
      <c r="A361" s="2">
        <v>43005</v>
      </c>
      <c r="B361" s="2">
        <v>43005</v>
      </c>
      <c r="C361" t="str">
        <f>"0001200327091713010090497"</f>
        <v>0001200327091713010090497</v>
      </c>
      <c r="D361" t="s">
        <v>211</v>
      </c>
      <c r="E361" s="1">
        <v>3900</v>
      </c>
      <c r="G361" s="1">
        <v>1825108.11</v>
      </c>
    </row>
    <row r="362" spans="1:7" x14ac:dyDescent="0.25">
      <c r="A362" s="2">
        <v>43005</v>
      </c>
      <c r="B362" s="2">
        <v>43005</v>
      </c>
      <c r="C362" t="str">
        <f>"0001200327091713510090728"</f>
        <v>0001200327091713510090728</v>
      </c>
      <c r="D362" t="s">
        <v>286</v>
      </c>
      <c r="F362" s="1">
        <v>2030</v>
      </c>
      <c r="G362" s="1">
        <v>1827138.11</v>
      </c>
    </row>
    <row r="363" spans="1:7" x14ac:dyDescent="0.25">
      <c r="A363" s="2">
        <v>43005</v>
      </c>
      <c r="B363" s="2">
        <v>43005</v>
      </c>
      <c r="C363" t="str">
        <f>"998ORTG172700024|103"</f>
        <v>998ORTG172700024|103</v>
      </c>
      <c r="D363" t="s">
        <v>287</v>
      </c>
      <c r="F363">
        <v>40</v>
      </c>
      <c r="G363" s="1">
        <v>1827178.11</v>
      </c>
    </row>
    <row r="364" spans="1:7" x14ac:dyDescent="0.25">
      <c r="A364" s="2">
        <v>43005</v>
      </c>
      <c r="B364" s="2">
        <v>43005</v>
      </c>
      <c r="C364" t="str">
        <f>"SE07801709271928|103"</f>
        <v>SE07801709271928|103</v>
      </c>
      <c r="D364" t="s">
        <v>288</v>
      </c>
      <c r="F364" s="1">
        <v>2695</v>
      </c>
      <c r="G364" s="1">
        <v>1829873.11</v>
      </c>
    </row>
    <row r="365" spans="1:7" x14ac:dyDescent="0.25">
      <c r="A365" s="2">
        <v>43005</v>
      </c>
      <c r="B365" s="2">
        <v>43005</v>
      </c>
      <c r="C365" t="str">
        <f>"998ORTG172700025|103"</f>
        <v>998ORTG172700025|103</v>
      </c>
      <c r="D365" t="s">
        <v>289</v>
      </c>
      <c r="F365">
        <v>45</v>
      </c>
      <c r="G365" s="1">
        <v>1829918.11</v>
      </c>
    </row>
    <row r="366" spans="1:7" x14ac:dyDescent="0.25">
      <c r="A366" s="2">
        <v>43005</v>
      </c>
      <c r="B366" s="2">
        <v>43005</v>
      </c>
      <c r="C366" t="str">
        <f>"SE07801709271926|103"</f>
        <v>SE07801709271926|103</v>
      </c>
      <c r="D366" t="s">
        <v>290</v>
      </c>
      <c r="F366" s="1">
        <v>2844</v>
      </c>
      <c r="G366" s="1">
        <v>1832762.11</v>
      </c>
    </row>
    <row r="367" spans="1:7" x14ac:dyDescent="0.25">
      <c r="A367" s="2">
        <v>43005</v>
      </c>
      <c r="B367" s="2">
        <v>43005</v>
      </c>
      <c r="C367" t="str">
        <f>"013RTGS172690014|103"</f>
        <v>013RTGS172690014|103</v>
      </c>
      <c r="D367" t="s">
        <v>291</v>
      </c>
      <c r="F367" s="1">
        <v>39738</v>
      </c>
      <c r="G367" s="1">
        <v>1872500.11</v>
      </c>
    </row>
    <row r="368" spans="1:7" x14ac:dyDescent="0.25">
      <c r="A368" s="2">
        <v>43005</v>
      </c>
      <c r="B368" s="2">
        <v>43005</v>
      </c>
      <c r="C368" t="str">
        <f>"998ORTG172700026|103"</f>
        <v>998ORTG172700026|103</v>
      </c>
      <c r="D368" t="s">
        <v>292</v>
      </c>
      <c r="F368">
        <v>609</v>
      </c>
      <c r="G368" s="1">
        <v>1873109.11</v>
      </c>
    </row>
    <row r="369" spans="1:7" x14ac:dyDescent="0.25">
      <c r="A369" s="2">
        <v>43005</v>
      </c>
      <c r="B369" s="2">
        <v>43005</v>
      </c>
      <c r="C369" t="str">
        <f>"0001200227091715240037782"</f>
        <v>0001200227091715240037782</v>
      </c>
      <c r="D369" t="s">
        <v>110</v>
      </c>
      <c r="F369">
        <v>920</v>
      </c>
      <c r="G369" s="1">
        <v>1874029.11</v>
      </c>
    </row>
    <row r="370" spans="1:7" x14ac:dyDescent="0.25">
      <c r="A370" s="2">
        <v>43005</v>
      </c>
      <c r="B370" s="2">
        <v>43005</v>
      </c>
      <c r="C370" t="str">
        <f>"0001200227091715240037783"</f>
        <v>0001200227091715240037783</v>
      </c>
      <c r="D370" t="s">
        <v>110</v>
      </c>
      <c r="F370">
        <v>896</v>
      </c>
      <c r="G370" s="1">
        <v>1874925.11</v>
      </c>
    </row>
    <row r="371" spans="1:7" x14ac:dyDescent="0.25">
      <c r="A371" s="2">
        <v>43005</v>
      </c>
      <c r="B371" s="2">
        <v>43005</v>
      </c>
      <c r="C371" t="str">
        <f>"SE07801709274632|103"</f>
        <v>SE07801709274632|103</v>
      </c>
      <c r="D371" t="s">
        <v>293</v>
      </c>
      <c r="F371" s="1">
        <v>12582</v>
      </c>
      <c r="G371" s="1">
        <v>1887507.11</v>
      </c>
    </row>
    <row r="372" spans="1:7" x14ac:dyDescent="0.25">
      <c r="A372" s="2">
        <v>43005</v>
      </c>
      <c r="B372" s="2">
        <v>43005</v>
      </c>
      <c r="C372" t="str">
        <f>"992709TBMA03"</f>
        <v>992709TBMA03</v>
      </c>
      <c r="D372" t="s">
        <v>294</v>
      </c>
      <c r="F372" s="1">
        <v>5707</v>
      </c>
      <c r="G372" s="1">
        <v>1893214.11</v>
      </c>
    </row>
    <row r="373" spans="1:7" x14ac:dyDescent="0.25">
      <c r="A373" s="2">
        <v>43005</v>
      </c>
      <c r="B373" s="2">
        <v>43005</v>
      </c>
      <c r="C373" t="str">
        <f>"992709TBMA03"</f>
        <v>992709TBMA03</v>
      </c>
      <c r="D373" t="s">
        <v>294</v>
      </c>
      <c r="E373">
        <v>10</v>
      </c>
      <c r="G373" s="1">
        <v>1893204.11</v>
      </c>
    </row>
    <row r="374" spans="1:7" x14ac:dyDescent="0.25">
      <c r="A374" s="2">
        <v>43005</v>
      </c>
      <c r="B374" s="2">
        <v>43005</v>
      </c>
      <c r="C374" t="str">
        <f>"992709TBMA03"</f>
        <v>992709TBMA03</v>
      </c>
      <c r="D374" t="s">
        <v>294</v>
      </c>
      <c r="E374">
        <v>1</v>
      </c>
      <c r="G374" s="1">
        <v>1893203.11</v>
      </c>
    </row>
    <row r="375" spans="1:7" x14ac:dyDescent="0.25">
      <c r="A375" s="2">
        <v>43006</v>
      </c>
      <c r="B375" s="2">
        <v>43005</v>
      </c>
      <c r="C375" t="str">
        <f>"00000000"</f>
        <v>00000000</v>
      </c>
      <c r="D375" t="s">
        <v>295</v>
      </c>
      <c r="F375">
        <v>144</v>
      </c>
      <c r="G375" s="1">
        <v>1893347.11</v>
      </c>
    </row>
    <row r="376" spans="1:7" x14ac:dyDescent="0.25">
      <c r="A376" s="2">
        <v>43006</v>
      </c>
      <c r="B376" s="2">
        <v>43005</v>
      </c>
      <c r="C376" t="str">
        <f>"00000000"</f>
        <v>00000000</v>
      </c>
      <c r="D376" t="s">
        <v>296</v>
      </c>
      <c r="F376" s="1">
        <v>1332</v>
      </c>
      <c r="G376" s="1">
        <v>1894679.11</v>
      </c>
    </row>
    <row r="377" spans="1:7" x14ac:dyDescent="0.25">
      <c r="A377" s="2">
        <v>43006</v>
      </c>
      <c r="B377" s="2">
        <v>43005</v>
      </c>
      <c r="C377" t="str">
        <f>"00000000"</f>
        <v>00000000</v>
      </c>
      <c r="D377" t="s">
        <v>297</v>
      </c>
      <c r="F377" s="1">
        <v>2220</v>
      </c>
      <c r="G377" s="1">
        <v>1896899.11</v>
      </c>
    </row>
    <row r="378" spans="1:7" x14ac:dyDescent="0.25">
      <c r="A378" s="2">
        <v>43006</v>
      </c>
      <c r="B378" s="2">
        <v>43005</v>
      </c>
      <c r="C378" t="str">
        <f>"00000000"</f>
        <v>00000000</v>
      </c>
      <c r="D378" t="s">
        <v>298</v>
      </c>
      <c r="F378">
        <v>208</v>
      </c>
      <c r="G378" s="1">
        <v>1897107.11</v>
      </c>
    </row>
    <row r="379" spans="1:7" x14ac:dyDescent="0.25">
      <c r="A379" s="2">
        <v>43006</v>
      </c>
      <c r="B379" s="2">
        <v>43006</v>
      </c>
      <c r="C379" t="str">
        <f>"3727100162|103"</f>
        <v>3727100162|103</v>
      </c>
      <c r="D379" t="s">
        <v>299</v>
      </c>
      <c r="F379" s="1">
        <v>5849</v>
      </c>
      <c r="G379" s="1">
        <v>1902956.11</v>
      </c>
    </row>
    <row r="380" spans="1:7" x14ac:dyDescent="0.25">
      <c r="A380" s="2">
        <v>43006</v>
      </c>
      <c r="B380" s="2">
        <v>43006</v>
      </c>
      <c r="C380" t="str">
        <f>"GTI0099153248"</f>
        <v>GTI0099153248</v>
      </c>
      <c r="D380" t="s">
        <v>300</v>
      </c>
      <c r="E380" s="1">
        <v>13071.21</v>
      </c>
      <c r="G380" s="1">
        <v>1889884.9</v>
      </c>
    </row>
    <row r="381" spans="1:7" x14ac:dyDescent="0.25">
      <c r="A381" s="2">
        <v>43006</v>
      </c>
      <c r="B381" s="2">
        <v>43006</v>
      </c>
      <c r="C381" t="str">
        <f>"FT17271TJDLZ|103"</f>
        <v>FT17271TJDLZ|103</v>
      </c>
      <c r="D381" t="s">
        <v>301</v>
      </c>
      <c r="F381" s="1">
        <v>2384</v>
      </c>
      <c r="G381" s="1">
        <v>1892268.9</v>
      </c>
    </row>
    <row r="382" spans="1:7" x14ac:dyDescent="0.25">
      <c r="A382" s="2">
        <v>43006</v>
      </c>
      <c r="B382" s="2">
        <v>43006</v>
      </c>
      <c r="C382" t="str">
        <f>"013RTGS172710001|103"</f>
        <v>013RTGS172710001|103</v>
      </c>
      <c r="D382" t="s">
        <v>302</v>
      </c>
      <c r="F382" s="1">
        <v>19700</v>
      </c>
      <c r="G382" s="1">
        <v>1911968.9</v>
      </c>
    </row>
    <row r="383" spans="1:7" x14ac:dyDescent="0.25">
      <c r="A383" s="2">
        <v>43006</v>
      </c>
      <c r="B383" s="2">
        <v>43006</v>
      </c>
      <c r="C383" t="str">
        <f>"3727102906|103"</f>
        <v>3727102906|103</v>
      </c>
      <c r="D383" t="s">
        <v>303</v>
      </c>
      <c r="F383">
        <v>961</v>
      </c>
      <c r="G383" s="1">
        <v>1912929.9</v>
      </c>
    </row>
    <row r="384" spans="1:7" x14ac:dyDescent="0.25">
      <c r="A384" s="2">
        <v>43006</v>
      </c>
      <c r="B384" s="2">
        <v>43006</v>
      </c>
      <c r="C384" t="str">
        <f>"FT17271ZZMG0|103"</f>
        <v>FT17271ZZMG0|103</v>
      </c>
      <c r="D384" t="s">
        <v>304</v>
      </c>
      <c r="F384">
        <v>832.59</v>
      </c>
      <c r="G384" s="1">
        <v>1913762.49</v>
      </c>
    </row>
    <row r="385" spans="1:7" x14ac:dyDescent="0.25">
      <c r="A385" s="2">
        <v>43006</v>
      </c>
      <c r="B385" s="2">
        <v>43006</v>
      </c>
      <c r="C385" t="str">
        <f>"992809TBMA00"</f>
        <v>992809TBMA00</v>
      </c>
      <c r="D385" t="s">
        <v>305</v>
      </c>
      <c r="E385">
        <v>1</v>
      </c>
      <c r="G385" s="1">
        <v>1913761.49</v>
      </c>
    </row>
    <row r="386" spans="1:7" x14ac:dyDescent="0.25">
      <c r="A386" s="2">
        <v>43006</v>
      </c>
      <c r="B386" s="2">
        <v>43006</v>
      </c>
      <c r="C386" t="str">
        <f>"0001209928091719170564430"</f>
        <v>0001209928091719170564430</v>
      </c>
      <c r="D386" t="s">
        <v>306</v>
      </c>
      <c r="E386" s="1">
        <v>516997.62</v>
      </c>
      <c r="G386" s="1">
        <v>1396763.87</v>
      </c>
    </row>
    <row r="387" spans="1:7" x14ac:dyDescent="0.25">
      <c r="A387" s="2">
        <v>43006</v>
      </c>
      <c r="B387" s="2">
        <v>43006</v>
      </c>
      <c r="C387" t="str">
        <f>"0001209928091719170564430"</f>
        <v>0001209928091719170564430</v>
      </c>
      <c r="D387" t="s">
        <v>307</v>
      </c>
      <c r="E387">
        <v>4.84</v>
      </c>
      <c r="G387" s="1">
        <v>1396759.03</v>
      </c>
    </row>
    <row r="388" spans="1:7" x14ac:dyDescent="0.25">
      <c r="A388" s="2">
        <v>43006</v>
      </c>
      <c r="B388" s="2">
        <v>43006</v>
      </c>
      <c r="C388" t="str">
        <f>"0001209928091719170564430"</f>
        <v>0001209928091719170564430</v>
      </c>
      <c r="D388" t="s">
        <v>249</v>
      </c>
      <c r="E388">
        <v>0.48</v>
      </c>
      <c r="G388" s="1">
        <v>1396758.55</v>
      </c>
    </row>
    <row r="389" spans="1:7" x14ac:dyDescent="0.25">
      <c r="A389" s="2">
        <v>43007</v>
      </c>
      <c r="B389" s="2">
        <v>43007</v>
      </c>
      <c r="C389" t="str">
        <f>"0001209929091709290564516"</f>
        <v>0001209929091709290564516</v>
      </c>
      <c r="D389" t="s">
        <v>308</v>
      </c>
      <c r="E389" s="1">
        <v>6835.99</v>
      </c>
      <c r="G389" s="1">
        <v>1389922.56</v>
      </c>
    </row>
    <row r="390" spans="1:7" x14ac:dyDescent="0.25">
      <c r="A390" s="2">
        <v>43007</v>
      </c>
      <c r="B390" s="2">
        <v>43007</v>
      </c>
      <c r="C390" t="str">
        <f>"0001209929091709290564516"</f>
        <v>0001209929091709290564516</v>
      </c>
      <c r="D390" t="s">
        <v>248</v>
      </c>
      <c r="E390">
        <v>14.51</v>
      </c>
      <c r="G390" s="1">
        <v>1389908.05</v>
      </c>
    </row>
    <row r="391" spans="1:7" x14ac:dyDescent="0.25">
      <c r="A391" s="2">
        <v>43007</v>
      </c>
      <c r="B391" s="2">
        <v>43007</v>
      </c>
      <c r="C391" t="str">
        <f>"0001209929091709290564516"</f>
        <v>0001209929091709290564516</v>
      </c>
      <c r="D391" t="s">
        <v>249</v>
      </c>
      <c r="E391">
        <v>1.45</v>
      </c>
      <c r="G391" s="1">
        <v>1389906.6</v>
      </c>
    </row>
    <row r="392" spans="1:7" x14ac:dyDescent="0.25">
      <c r="A392" s="2">
        <v>43007</v>
      </c>
      <c r="B392" s="2">
        <v>43007</v>
      </c>
      <c r="C392" t="str">
        <f>"00000000"</f>
        <v>00000000</v>
      </c>
      <c r="D392" t="s">
        <v>309</v>
      </c>
      <c r="F392" s="1">
        <v>2226</v>
      </c>
      <c r="G392" s="1">
        <v>1392132.6</v>
      </c>
    </row>
    <row r="393" spans="1:7" x14ac:dyDescent="0.25">
      <c r="A393" s="2">
        <v>43007</v>
      </c>
      <c r="B393" s="2">
        <v>43007</v>
      </c>
      <c r="C393" t="str">
        <f>"00000000"</f>
        <v>00000000</v>
      </c>
      <c r="D393" t="s">
        <v>310</v>
      </c>
      <c r="F393" s="1">
        <v>1415</v>
      </c>
      <c r="G393" s="1">
        <v>1393547.6</v>
      </c>
    </row>
    <row r="394" spans="1:7" x14ac:dyDescent="0.25">
      <c r="A394" s="2">
        <v>43007</v>
      </c>
      <c r="B394" s="2">
        <v>43007</v>
      </c>
      <c r="C394" t="str">
        <f>"0001209929091710420564545"</f>
        <v>0001209929091710420564545</v>
      </c>
      <c r="D394" t="s">
        <v>311</v>
      </c>
      <c r="E394" s="1">
        <v>923789.32</v>
      </c>
      <c r="G394" s="1">
        <v>469758.28</v>
      </c>
    </row>
    <row r="395" spans="1:7" x14ac:dyDescent="0.25">
      <c r="A395" s="2">
        <v>43007</v>
      </c>
      <c r="B395" s="2">
        <v>43007</v>
      </c>
      <c r="C395" t="str">
        <f>"0001209929091710420564545"</f>
        <v>0001209929091710420564545</v>
      </c>
      <c r="D395" t="s">
        <v>307</v>
      </c>
      <c r="E395">
        <v>4.8499999999999996</v>
      </c>
      <c r="G395" s="1">
        <v>469753.43</v>
      </c>
    </row>
    <row r="396" spans="1:7" x14ac:dyDescent="0.25">
      <c r="A396" s="2">
        <v>43007</v>
      </c>
      <c r="B396" s="2">
        <v>43007</v>
      </c>
      <c r="C396" t="str">
        <f>"0001209929091710420564545"</f>
        <v>0001209929091710420564545</v>
      </c>
      <c r="D396" t="s">
        <v>249</v>
      </c>
      <c r="E396">
        <v>0.49</v>
      </c>
      <c r="G396" s="1">
        <v>469752.94</v>
      </c>
    </row>
    <row r="397" spans="1:7" x14ac:dyDescent="0.25">
      <c r="A397" s="2">
        <v>43007</v>
      </c>
      <c r="B397" s="2">
        <v>43007</v>
      </c>
      <c r="C397" t="str">
        <f>"C383941OCP092817|103"</f>
        <v>C383941OCP092817|103</v>
      </c>
      <c r="D397" t="s">
        <v>312</v>
      </c>
      <c r="E397">
        <v>10</v>
      </c>
      <c r="G397" s="1">
        <v>469742.94</v>
      </c>
    </row>
    <row r="398" spans="1:7" x14ac:dyDescent="0.25">
      <c r="A398" s="2">
        <v>43007</v>
      </c>
      <c r="B398" s="2">
        <v>43007</v>
      </c>
      <c r="C398" t="str">
        <f>"C383941OCP092817|103"</f>
        <v>C383941OCP092817|103</v>
      </c>
      <c r="D398" t="s">
        <v>313</v>
      </c>
      <c r="F398" s="1">
        <v>850000</v>
      </c>
      <c r="G398" s="1">
        <v>1319742.94</v>
      </c>
    </row>
    <row r="399" spans="1:7" x14ac:dyDescent="0.25">
      <c r="A399" s="2">
        <v>43007</v>
      </c>
      <c r="B399" s="2">
        <v>43007</v>
      </c>
      <c r="C399" t="str">
        <f>"0001209929091712030564583"</f>
        <v>0001209929091712030564583</v>
      </c>
      <c r="D399" t="s">
        <v>314</v>
      </c>
      <c r="E399" s="1">
        <v>6836</v>
      </c>
      <c r="G399" s="1">
        <v>1312906.94</v>
      </c>
    </row>
    <row r="400" spans="1:7" x14ac:dyDescent="0.25">
      <c r="A400" s="2">
        <v>43007</v>
      </c>
      <c r="B400" s="2">
        <v>43007</v>
      </c>
      <c r="C400" t="str">
        <f>"0001209929091712030564583"</f>
        <v>0001209929091712030564583</v>
      </c>
      <c r="D400" t="s">
        <v>248</v>
      </c>
      <c r="E400">
        <v>14.54</v>
      </c>
      <c r="G400" s="1">
        <v>1312892.3999999999</v>
      </c>
    </row>
    <row r="401" spans="1:7" x14ac:dyDescent="0.25">
      <c r="A401" s="2">
        <v>43007</v>
      </c>
      <c r="B401" s="2">
        <v>43007</v>
      </c>
      <c r="C401" t="str">
        <f>"0001209929091712030564583"</f>
        <v>0001209929091712030564583</v>
      </c>
      <c r="D401" t="s">
        <v>249</v>
      </c>
      <c r="E401">
        <v>1.45</v>
      </c>
      <c r="G401" s="1">
        <v>1312890.95</v>
      </c>
    </row>
    <row r="402" spans="1:7" x14ac:dyDescent="0.25">
      <c r="A402" s="2">
        <v>43007</v>
      </c>
      <c r="B402" s="2">
        <v>43007</v>
      </c>
      <c r="C402" t="str">
        <f>"INHOUSE CHQ.106832"</f>
        <v>INHOUSE CHQ.106832</v>
      </c>
      <c r="D402" t="s">
        <v>315</v>
      </c>
      <c r="E402" s="1">
        <v>1736</v>
      </c>
      <c r="G402" s="1">
        <v>1311154.95</v>
      </c>
    </row>
    <row r="403" spans="1:7" x14ac:dyDescent="0.25">
      <c r="A403" s="2">
        <v>43007</v>
      </c>
      <c r="B403" s="2">
        <v>43007</v>
      </c>
      <c r="C403" t="str">
        <f>"2345909271FF|103"</f>
        <v>2345909271FF|103</v>
      </c>
      <c r="D403" t="s">
        <v>316</v>
      </c>
      <c r="E403">
        <v>9.09</v>
      </c>
      <c r="G403" s="1">
        <v>1311145.8600000001</v>
      </c>
    </row>
    <row r="404" spans="1:7" x14ac:dyDescent="0.25">
      <c r="A404" s="2">
        <v>43007</v>
      </c>
      <c r="B404" s="2">
        <v>43007</v>
      </c>
      <c r="C404" t="str">
        <f>"2345909271FF|103"</f>
        <v>2345909271FF|103</v>
      </c>
      <c r="D404" t="s">
        <v>317</v>
      </c>
      <c r="F404">
        <v>909</v>
      </c>
      <c r="G404" s="1">
        <v>1312054.8600000001</v>
      </c>
    </row>
    <row r="405" spans="1:7" x14ac:dyDescent="0.25">
      <c r="A405" s="2">
        <v>43007</v>
      </c>
      <c r="B405" s="2">
        <v>43007</v>
      </c>
      <c r="C405" t="str">
        <f>"F0172710710C01|103"</f>
        <v>F0172710710C01|103</v>
      </c>
      <c r="D405" t="s">
        <v>318</v>
      </c>
      <c r="F405" s="1">
        <v>2010</v>
      </c>
      <c r="G405" s="1">
        <v>1314064.8600000001</v>
      </c>
    </row>
    <row r="406" spans="1:7" x14ac:dyDescent="0.25">
      <c r="A406" s="2">
        <v>43007</v>
      </c>
      <c r="B406" s="2">
        <v>43007</v>
      </c>
      <c r="C406" t="str">
        <f>"IR07801709291738|103"</f>
        <v>IR07801709291738|103</v>
      </c>
      <c r="D406" t="s">
        <v>319</v>
      </c>
      <c r="F406">
        <v>562</v>
      </c>
      <c r="G406" s="1">
        <v>1314626.8600000001</v>
      </c>
    </row>
    <row r="407" spans="1:7" x14ac:dyDescent="0.25">
      <c r="A407" s="2">
        <v>43007</v>
      </c>
      <c r="B407" s="2">
        <v>43007</v>
      </c>
      <c r="C407" t="str">
        <f>"FT17272RHTFD|103"</f>
        <v>FT17272RHTFD|103</v>
      </c>
      <c r="D407" t="s">
        <v>320</v>
      </c>
      <c r="F407" s="1">
        <v>1221.6400000000001</v>
      </c>
      <c r="G407" s="1">
        <v>1315848.5</v>
      </c>
    </row>
    <row r="408" spans="1:7" x14ac:dyDescent="0.25">
      <c r="A408" s="2">
        <v>43007</v>
      </c>
      <c r="B408" s="2">
        <v>43007</v>
      </c>
      <c r="C408" t="str">
        <f>"FT172721S4Q3|103"</f>
        <v>FT172721S4Q3|103</v>
      </c>
      <c r="D408" t="s">
        <v>321</v>
      </c>
      <c r="F408" s="1">
        <v>1073.0999999999999</v>
      </c>
      <c r="G408" s="1">
        <v>1316921.6000000001</v>
      </c>
    </row>
    <row r="409" spans="1:7" x14ac:dyDescent="0.25">
      <c r="A409" s="2">
        <v>43007</v>
      </c>
      <c r="B409" s="2">
        <v>43007</v>
      </c>
      <c r="C409" t="str">
        <f>"0001200229091715540039632"</f>
        <v>0001200229091715540039632</v>
      </c>
      <c r="D409" t="s">
        <v>110</v>
      </c>
      <c r="F409">
        <v>343</v>
      </c>
      <c r="G409" s="1">
        <v>1317264.6000000001</v>
      </c>
    </row>
    <row r="410" spans="1:7" x14ac:dyDescent="0.25">
      <c r="A410" s="2">
        <v>43007</v>
      </c>
      <c r="B410" s="2">
        <v>43007</v>
      </c>
      <c r="C410" t="str">
        <f>"0001200229091715540039635"</f>
        <v>0001200229091715540039635</v>
      </c>
      <c r="D410" t="s">
        <v>110</v>
      </c>
      <c r="F410">
        <v>30</v>
      </c>
      <c r="G410" s="1">
        <v>1317294.6000000001</v>
      </c>
    </row>
    <row r="411" spans="1:7" x14ac:dyDescent="0.25">
      <c r="A411" s="2">
        <v>43007</v>
      </c>
      <c r="B411" s="2">
        <v>43007</v>
      </c>
      <c r="C411" t="str">
        <f>"0001209929091715300564720"</f>
        <v>0001209929091715300564720</v>
      </c>
      <c r="D411" t="s">
        <v>322</v>
      </c>
      <c r="E411" s="1">
        <v>18128.23</v>
      </c>
      <c r="G411" s="1">
        <v>1299166.3700000001</v>
      </c>
    </row>
    <row r="412" spans="1:7" x14ac:dyDescent="0.25">
      <c r="A412" s="2">
        <v>43007</v>
      </c>
      <c r="B412" s="2">
        <v>43007</v>
      </c>
      <c r="C412" t="str">
        <f>"0001209929091715300564720"</f>
        <v>0001209929091715300564720</v>
      </c>
      <c r="D412" t="s">
        <v>307</v>
      </c>
      <c r="E412">
        <v>4.8499999999999996</v>
      </c>
      <c r="G412" s="1">
        <v>1299161.52</v>
      </c>
    </row>
    <row r="413" spans="1:7" x14ac:dyDescent="0.25">
      <c r="A413" s="2">
        <v>43007</v>
      </c>
      <c r="B413" s="2">
        <v>43007</v>
      </c>
      <c r="C413" t="str">
        <f>"0001209929091715300564720"</f>
        <v>0001209929091715300564720</v>
      </c>
      <c r="D413" t="s">
        <v>249</v>
      </c>
      <c r="E413">
        <v>0.49</v>
      </c>
      <c r="G413" s="1">
        <v>1299161.03</v>
      </c>
    </row>
    <row r="414" spans="1:7" x14ac:dyDescent="0.25">
      <c r="A414" s="2">
        <v>43007</v>
      </c>
      <c r="B414" s="2">
        <v>43007</v>
      </c>
      <c r="C414" t="str">
        <f>"3727204541|103"</f>
        <v>3727204541|103</v>
      </c>
      <c r="D414" t="s">
        <v>323</v>
      </c>
      <c r="F414" s="1">
        <v>8312</v>
      </c>
      <c r="G414" s="1">
        <v>1307473.03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80"/>
  <sheetViews>
    <sheetView topLeftCell="C373" workbookViewId="0">
      <selection activeCell="C150" sqref="C150:E150"/>
    </sheetView>
  </sheetViews>
  <sheetFormatPr defaultRowHeight="15" x14ac:dyDescent="0.25"/>
  <cols>
    <col min="1" max="1" width="38.85546875" bestFit="1" customWidth="1"/>
    <col min="2" max="2" width="15.42578125" bestFit="1" customWidth="1"/>
    <col min="3" max="3" width="26.5703125" bestFit="1" customWidth="1"/>
    <col min="4" max="4" width="97.42578125" bestFit="1" customWidth="1"/>
    <col min="5" max="5" width="11.85546875" customWidth="1"/>
    <col min="7" max="7" width="11.7109375" bestFit="1" customWidth="1"/>
  </cols>
  <sheetData>
    <row r="3" spans="1:7" x14ac:dyDescent="0.25">
      <c r="B3" t="s">
        <v>0</v>
      </c>
    </row>
    <row r="7" spans="1:7" x14ac:dyDescent="0.25">
      <c r="A7" t="s">
        <v>1</v>
      </c>
      <c r="B7">
        <v>107347</v>
      </c>
    </row>
    <row r="8" spans="1:7" x14ac:dyDescent="0.25">
      <c r="A8" t="s">
        <v>2</v>
      </c>
      <c r="B8" t="str">
        <f>"02020010734700"</f>
        <v>02020010734700</v>
      </c>
    </row>
    <row r="9" spans="1:7" x14ac:dyDescent="0.25">
      <c r="A9" t="s">
        <v>3</v>
      </c>
      <c r="B9" t="s">
        <v>4</v>
      </c>
    </row>
    <row r="10" spans="1:7" x14ac:dyDescent="0.25">
      <c r="A10" t="s">
        <v>5</v>
      </c>
      <c r="B10" s="1">
        <v>169764.23</v>
      </c>
    </row>
    <row r="11" spans="1:7" x14ac:dyDescent="0.25">
      <c r="A11" t="s">
        <v>6</v>
      </c>
      <c r="B11" s="1">
        <v>151726.23000000001</v>
      </c>
    </row>
    <row r="14" spans="1:7" x14ac:dyDescent="0.25">
      <c r="A14" t="s">
        <v>654</v>
      </c>
    </row>
    <row r="16" spans="1:7" x14ac:dyDescent="0.25">
      <c r="A16" t="s">
        <v>8</v>
      </c>
      <c r="B16" t="s">
        <v>9</v>
      </c>
      <c r="C16" t="s">
        <v>10</v>
      </c>
      <c r="D16" t="s">
        <v>11</v>
      </c>
      <c r="E16" t="s">
        <v>12</v>
      </c>
      <c r="F16" t="s">
        <v>13</v>
      </c>
      <c r="G16" t="s">
        <v>14</v>
      </c>
    </row>
    <row r="17" spans="1:7" x14ac:dyDescent="0.25">
      <c r="A17" s="2">
        <v>43009</v>
      </c>
      <c r="B17" s="2">
        <v>43009</v>
      </c>
      <c r="C17" t="str">
        <f>"0001203901101710270048339"</f>
        <v>0001203901101710270048339</v>
      </c>
      <c r="D17" t="s">
        <v>110</v>
      </c>
      <c r="F17">
        <v>23</v>
      </c>
      <c r="G17" s="1">
        <v>1307496.03</v>
      </c>
    </row>
    <row r="18" spans="1:7" x14ac:dyDescent="0.25">
      <c r="A18" s="2">
        <v>43009</v>
      </c>
      <c r="B18" s="2">
        <v>43009</v>
      </c>
      <c r="C18" t="str">
        <f>"0001203901101711070048380"</f>
        <v>0001203901101711070048380</v>
      </c>
      <c r="D18" t="s">
        <v>110</v>
      </c>
      <c r="F18">
        <v>23</v>
      </c>
      <c r="G18" s="1">
        <v>1307519.03</v>
      </c>
    </row>
    <row r="19" spans="1:7" x14ac:dyDescent="0.25">
      <c r="A19" s="2">
        <v>43009</v>
      </c>
      <c r="B19" s="2">
        <v>43009</v>
      </c>
      <c r="C19" t="str">
        <f>"0001203901101711070048382"</f>
        <v>0001203901101711070048382</v>
      </c>
      <c r="D19" t="s">
        <v>110</v>
      </c>
      <c r="F19">
        <v>8</v>
      </c>
      <c r="G19" s="1">
        <v>1307527.03</v>
      </c>
    </row>
    <row r="20" spans="1:7" x14ac:dyDescent="0.25">
      <c r="A20" s="2">
        <v>43009</v>
      </c>
      <c r="B20" s="2">
        <v>43009</v>
      </c>
      <c r="C20" t="str">
        <f>"990110TBMA00"</f>
        <v>990110TBMA00</v>
      </c>
      <c r="D20" t="s">
        <v>655</v>
      </c>
      <c r="E20">
        <v>1</v>
      </c>
      <c r="G20" s="1">
        <v>1307526.03</v>
      </c>
    </row>
    <row r="21" spans="1:7" x14ac:dyDescent="0.25">
      <c r="A21" s="2">
        <v>43009</v>
      </c>
      <c r="B21" s="2">
        <v>43009</v>
      </c>
      <c r="C21" t="str">
        <f>"990110TBMA00"</f>
        <v>990110TBMA00</v>
      </c>
      <c r="D21" t="s">
        <v>656</v>
      </c>
      <c r="E21">
        <v>0.91</v>
      </c>
      <c r="G21" s="1">
        <v>1307525.1200000001</v>
      </c>
    </row>
    <row r="22" spans="1:7" x14ac:dyDescent="0.25">
      <c r="A22" s="2">
        <v>43010</v>
      </c>
      <c r="B22" s="2">
        <v>43010</v>
      </c>
      <c r="C22" t="str">
        <f>"0001203902101709240049945"</f>
        <v>0001203902101709240049945</v>
      </c>
      <c r="D22" t="s">
        <v>122</v>
      </c>
      <c r="F22">
        <v>23</v>
      </c>
      <c r="G22" s="1">
        <v>1307548.1200000001</v>
      </c>
    </row>
    <row r="23" spans="1:7" x14ac:dyDescent="0.25">
      <c r="A23" s="2">
        <v>43010</v>
      </c>
      <c r="B23" s="2">
        <v>43010</v>
      </c>
      <c r="C23" t="str">
        <f>"0001203902101709250049947"</f>
        <v>0001203902101709250049947</v>
      </c>
      <c r="D23" t="s">
        <v>122</v>
      </c>
      <c r="F23">
        <v>23</v>
      </c>
      <c r="G23" s="1">
        <v>1307571.1200000001</v>
      </c>
    </row>
    <row r="24" spans="1:7" x14ac:dyDescent="0.25">
      <c r="A24" s="2">
        <v>43010</v>
      </c>
      <c r="B24" s="2">
        <v>43010</v>
      </c>
      <c r="C24" t="str">
        <f>"990210MOAB01"</f>
        <v>990210MOAB01</v>
      </c>
      <c r="D24" t="s">
        <v>657</v>
      </c>
      <c r="F24" s="1">
        <v>5145</v>
      </c>
      <c r="G24" s="1">
        <v>1312716.1200000001</v>
      </c>
    </row>
    <row r="25" spans="1:7" x14ac:dyDescent="0.25">
      <c r="A25" s="2">
        <v>43010</v>
      </c>
      <c r="B25" s="2">
        <v>43010</v>
      </c>
      <c r="C25" t="str">
        <f>"998ORTG172750018|103"</f>
        <v>998ORTG172750018|103</v>
      </c>
      <c r="D25" t="s">
        <v>658</v>
      </c>
      <c r="F25" s="1">
        <v>6395</v>
      </c>
      <c r="G25" s="1">
        <v>1319111.1200000001</v>
      </c>
    </row>
    <row r="26" spans="1:7" x14ac:dyDescent="0.25">
      <c r="A26" s="2">
        <v>43010</v>
      </c>
      <c r="B26" s="2">
        <v>43010</v>
      </c>
      <c r="C26" t="str">
        <f>"SE07801710020224|103"</f>
        <v>SE07801710020224|103</v>
      </c>
      <c r="D26" t="s">
        <v>659</v>
      </c>
      <c r="F26">
        <v>43</v>
      </c>
      <c r="G26" s="1">
        <v>1319154.1200000001</v>
      </c>
    </row>
    <row r="27" spans="1:7" x14ac:dyDescent="0.25">
      <c r="A27" s="2">
        <v>43010</v>
      </c>
      <c r="B27" s="2">
        <v>43010</v>
      </c>
      <c r="C27" t="str">
        <f>"SE07801710020226|103"</f>
        <v>SE07801710020226|103</v>
      </c>
      <c r="D27" t="s">
        <v>660</v>
      </c>
      <c r="F27" s="1">
        <v>1216</v>
      </c>
      <c r="G27" s="1">
        <v>1320370.1200000001</v>
      </c>
    </row>
    <row r="28" spans="1:7" x14ac:dyDescent="0.25">
      <c r="A28" s="2">
        <v>43010</v>
      </c>
      <c r="B28" s="2">
        <v>43010</v>
      </c>
      <c r="C28" t="str">
        <f>"SE07801710020228|103"</f>
        <v>SE07801710020228|103</v>
      </c>
      <c r="D28" t="s">
        <v>661</v>
      </c>
      <c r="F28" s="1">
        <v>1256</v>
      </c>
      <c r="G28" s="1">
        <v>1321626.1200000001</v>
      </c>
    </row>
    <row r="29" spans="1:7" x14ac:dyDescent="0.25">
      <c r="A29" s="2">
        <v>43010</v>
      </c>
      <c r="B29" s="2">
        <v>43010</v>
      </c>
      <c r="C29" t="str">
        <f>"0001200202101711240040477"</f>
        <v>0001200202101711240040477</v>
      </c>
      <c r="D29" t="s">
        <v>662</v>
      </c>
      <c r="E29" s="1">
        <v>12410</v>
      </c>
      <c r="G29" s="1">
        <v>1309216.1200000001</v>
      </c>
    </row>
    <row r="30" spans="1:7" x14ac:dyDescent="0.25">
      <c r="A30" s="2">
        <v>43010</v>
      </c>
      <c r="B30" s="2">
        <v>43010</v>
      </c>
      <c r="C30" t="str">
        <f>"998ORTG172750012|103"</f>
        <v>998ORTG172750012|103</v>
      </c>
      <c r="D30" t="s">
        <v>663</v>
      </c>
      <c r="F30">
        <v>246</v>
      </c>
      <c r="G30" s="1">
        <v>1309462.1200000001</v>
      </c>
    </row>
    <row r="31" spans="1:7" x14ac:dyDescent="0.25">
      <c r="A31" s="2">
        <v>43010</v>
      </c>
      <c r="B31" s="2">
        <v>43010</v>
      </c>
      <c r="C31" t="str">
        <f>"998ORTG172750013|103"</f>
        <v>998ORTG172750013|103</v>
      </c>
      <c r="D31" t="s">
        <v>664</v>
      </c>
      <c r="F31" s="1">
        <v>8991</v>
      </c>
      <c r="G31" s="1">
        <v>1318453.1200000001</v>
      </c>
    </row>
    <row r="32" spans="1:7" x14ac:dyDescent="0.25">
      <c r="A32" s="2">
        <v>43010</v>
      </c>
      <c r="B32" s="2">
        <v>43010</v>
      </c>
      <c r="C32" t="str">
        <f>"998ORTG172750015|103"</f>
        <v>998ORTG172750015|103</v>
      </c>
      <c r="D32" t="s">
        <v>665</v>
      </c>
      <c r="F32">
        <v>165</v>
      </c>
      <c r="G32" s="1">
        <v>1318618.1200000001</v>
      </c>
    </row>
    <row r="33" spans="1:7" x14ac:dyDescent="0.25">
      <c r="A33" s="2">
        <v>43010</v>
      </c>
      <c r="B33" s="2">
        <v>43010</v>
      </c>
      <c r="C33" t="str">
        <f>"SE07801710020222|103"</f>
        <v>SE07801710020222|103</v>
      </c>
      <c r="D33" t="s">
        <v>666</v>
      </c>
      <c r="F33">
        <v>780</v>
      </c>
      <c r="G33" s="1">
        <v>1319398.1200000001</v>
      </c>
    </row>
    <row r="34" spans="1:7" x14ac:dyDescent="0.25">
      <c r="A34" s="2">
        <v>43010</v>
      </c>
      <c r="B34" s="2">
        <v>43010</v>
      </c>
      <c r="C34" t="str">
        <f>"SE07801710021476|103"</f>
        <v>SE07801710021476|103</v>
      </c>
      <c r="D34" t="s">
        <v>667</v>
      </c>
      <c r="F34" s="1">
        <v>5236</v>
      </c>
      <c r="G34" s="1">
        <v>1324634.1200000001</v>
      </c>
    </row>
    <row r="35" spans="1:7" x14ac:dyDescent="0.25">
      <c r="A35" s="2">
        <v>43010</v>
      </c>
      <c r="B35" s="2">
        <v>43010</v>
      </c>
      <c r="C35" t="str">
        <f>"00000000"</f>
        <v>00000000</v>
      </c>
      <c r="D35" t="s">
        <v>668</v>
      </c>
      <c r="F35" s="1">
        <v>1736</v>
      </c>
      <c r="G35" s="1">
        <v>1326370.1200000001</v>
      </c>
    </row>
    <row r="36" spans="1:7" x14ac:dyDescent="0.25">
      <c r="A36" s="2">
        <v>43010</v>
      </c>
      <c r="B36" s="2">
        <v>43010</v>
      </c>
      <c r="C36" t="str">
        <f>"0001200202101715420040895"</f>
        <v>0001200202101715420040895</v>
      </c>
      <c r="D36" t="s">
        <v>110</v>
      </c>
      <c r="F36">
        <v>274</v>
      </c>
      <c r="G36" s="1">
        <v>1326644.1200000001</v>
      </c>
    </row>
    <row r="37" spans="1:7" x14ac:dyDescent="0.25">
      <c r="A37" s="2">
        <v>43010</v>
      </c>
      <c r="B37" s="2">
        <v>43010</v>
      </c>
      <c r="C37" t="str">
        <f>"0001200202101715420040896"</f>
        <v>0001200202101715420040896</v>
      </c>
      <c r="D37" t="s">
        <v>110</v>
      </c>
      <c r="F37">
        <v>2</v>
      </c>
      <c r="G37" s="1">
        <v>1326646.1200000001</v>
      </c>
    </row>
    <row r="38" spans="1:7" x14ac:dyDescent="0.25">
      <c r="A38" s="2">
        <v>43010</v>
      </c>
      <c r="B38" s="2">
        <v>43010</v>
      </c>
      <c r="C38" t="str">
        <f>"0001200202101715420040898"</f>
        <v>0001200202101715420040898</v>
      </c>
      <c r="D38" t="s">
        <v>110</v>
      </c>
      <c r="F38">
        <v>363</v>
      </c>
      <c r="G38" s="1">
        <v>1327009.1200000001</v>
      </c>
    </row>
    <row r="39" spans="1:7" x14ac:dyDescent="0.25">
      <c r="A39" s="2">
        <v>43010</v>
      </c>
      <c r="B39" s="2">
        <v>43010</v>
      </c>
      <c r="C39" t="str">
        <f>"0001200202101715550040904"</f>
        <v>0001200202101715550040904</v>
      </c>
      <c r="D39" t="s">
        <v>110</v>
      </c>
      <c r="F39">
        <v>445</v>
      </c>
      <c r="G39" s="1">
        <v>1327454.1200000001</v>
      </c>
    </row>
    <row r="40" spans="1:7" x14ac:dyDescent="0.25">
      <c r="A40" s="2">
        <v>43010</v>
      </c>
      <c r="B40" s="2">
        <v>43010</v>
      </c>
      <c r="C40" t="str">
        <f>"0001200202101715550040905"</f>
        <v>0001200202101715550040905</v>
      </c>
      <c r="D40" t="s">
        <v>110</v>
      </c>
      <c r="F40">
        <v>65</v>
      </c>
      <c r="G40" s="1">
        <v>1327519.1200000001</v>
      </c>
    </row>
    <row r="41" spans="1:7" x14ac:dyDescent="0.25">
      <c r="A41" s="2">
        <v>43010</v>
      </c>
      <c r="B41" s="2">
        <v>43010</v>
      </c>
      <c r="C41" t="str">
        <f>"0001209102101716080009701"</f>
        <v>0001209102101716080009701</v>
      </c>
      <c r="D41" t="s">
        <v>211</v>
      </c>
      <c r="E41" s="1">
        <v>13405</v>
      </c>
      <c r="G41" s="1">
        <v>1314114.1200000001</v>
      </c>
    </row>
    <row r="42" spans="1:7" x14ac:dyDescent="0.25">
      <c r="A42" s="2">
        <v>43010</v>
      </c>
      <c r="B42" s="2">
        <v>43010</v>
      </c>
      <c r="C42" t="str">
        <f>"FT17275VR9LS|103"</f>
        <v>FT17275VR9LS|103</v>
      </c>
      <c r="D42" t="s">
        <v>669</v>
      </c>
      <c r="F42">
        <v>60</v>
      </c>
      <c r="G42" s="1">
        <v>1314174.1200000001</v>
      </c>
    </row>
    <row r="43" spans="1:7" x14ac:dyDescent="0.25">
      <c r="A43" s="2">
        <v>43010</v>
      </c>
      <c r="B43" s="2">
        <v>43010</v>
      </c>
      <c r="C43" t="str">
        <f>"3727502912|103"</f>
        <v>3727502912|103</v>
      </c>
      <c r="D43" t="s">
        <v>670</v>
      </c>
      <c r="F43" s="1">
        <v>16860</v>
      </c>
      <c r="G43" s="1">
        <v>1331034.1200000001</v>
      </c>
    </row>
    <row r="44" spans="1:7" x14ac:dyDescent="0.25">
      <c r="A44" s="2">
        <v>43010</v>
      </c>
      <c r="B44" s="2">
        <v>43010</v>
      </c>
      <c r="C44" t="str">
        <f>"0001209902101718370565589"</f>
        <v>0001209902101718370565589</v>
      </c>
      <c r="D44" t="s">
        <v>671</v>
      </c>
      <c r="E44" s="1">
        <v>2999.99</v>
      </c>
      <c r="G44" s="1">
        <v>1328034.1299999999</v>
      </c>
    </row>
    <row r="45" spans="1:7" x14ac:dyDescent="0.25">
      <c r="A45" s="2">
        <v>43010</v>
      </c>
      <c r="B45" s="2">
        <v>43010</v>
      </c>
      <c r="C45" t="str">
        <f>"0001209902101718370565589"</f>
        <v>0001209902101718370565589</v>
      </c>
      <c r="D45" t="s">
        <v>248</v>
      </c>
      <c r="E45">
        <v>14.53</v>
      </c>
      <c r="G45" s="1">
        <v>1328019.6000000001</v>
      </c>
    </row>
    <row r="46" spans="1:7" x14ac:dyDescent="0.25">
      <c r="A46" s="2">
        <v>43010</v>
      </c>
      <c r="B46" s="2">
        <v>43010</v>
      </c>
      <c r="C46" t="str">
        <f>"0001209902101718370565589"</f>
        <v>0001209902101718370565589</v>
      </c>
      <c r="D46" t="s">
        <v>249</v>
      </c>
      <c r="E46">
        <v>1.45</v>
      </c>
      <c r="G46" s="1">
        <v>1328018.1499999999</v>
      </c>
    </row>
    <row r="47" spans="1:7" x14ac:dyDescent="0.25">
      <c r="A47" s="2">
        <v>43011</v>
      </c>
      <c r="B47" s="2">
        <v>43011</v>
      </c>
      <c r="C47" t="str">
        <f>"00000000"</f>
        <v>00000000</v>
      </c>
      <c r="D47" t="s">
        <v>672</v>
      </c>
      <c r="F47" s="1">
        <v>5000</v>
      </c>
      <c r="G47" s="1">
        <v>1333018.1499999999</v>
      </c>
    </row>
    <row r="48" spans="1:7" x14ac:dyDescent="0.25">
      <c r="A48" s="2">
        <v>43011</v>
      </c>
      <c r="B48" s="2">
        <v>43011</v>
      </c>
      <c r="C48" t="str">
        <f>"00000000"</f>
        <v>00000000</v>
      </c>
      <c r="D48" t="s">
        <v>673</v>
      </c>
      <c r="F48">
        <v>766</v>
      </c>
      <c r="G48" s="1">
        <v>1333784.1499999999</v>
      </c>
    </row>
    <row r="49" spans="1:7" x14ac:dyDescent="0.25">
      <c r="A49" s="2">
        <v>43011</v>
      </c>
      <c r="B49" s="2">
        <v>43011</v>
      </c>
      <c r="C49" t="str">
        <f>"00000000"</f>
        <v>00000000</v>
      </c>
      <c r="D49" t="s">
        <v>674</v>
      </c>
      <c r="F49" s="1">
        <v>3494</v>
      </c>
      <c r="G49" s="1">
        <v>1337278.1499999999</v>
      </c>
    </row>
    <row r="50" spans="1:7" x14ac:dyDescent="0.25">
      <c r="A50" s="2">
        <v>43011</v>
      </c>
      <c r="B50" s="2">
        <v>43011</v>
      </c>
      <c r="C50" t="str">
        <f>"00106845  "</f>
        <v xml:space="preserve">00106845  </v>
      </c>
      <c r="D50" t="s">
        <v>675</v>
      </c>
      <c r="E50" s="1">
        <v>3065.2</v>
      </c>
      <c r="G50" s="1">
        <v>1334212.95</v>
      </c>
    </row>
    <row r="51" spans="1:7" x14ac:dyDescent="0.25">
      <c r="A51" s="2">
        <v>43011</v>
      </c>
      <c r="B51" s="2">
        <v>43011</v>
      </c>
      <c r="C51" t="str">
        <f>"0536609275EZ|103"</f>
        <v>0536609275EZ|103</v>
      </c>
      <c r="D51" t="s">
        <v>676</v>
      </c>
      <c r="E51">
        <v>10</v>
      </c>
      <c r="G51" s="1">
        <v>1334202.95</v>
      </c>
    </row>
    <row r="52" spans="1:7" x14ac:dyDescent="0.25">
      <c r="A52" s="2">
        <v>43011</v>
      </c>
      <c r="B52" s="2">
        <v>43011</v>
      </c>
      <c r="C52" t="str">
        <f>"0536609275EZ|103"</f>
        <v>0536609275EZ|103</v>
      </c>
      <c r="D52" t="s">
        <v>677</v>
      </c>
      <c r="F52" s="1">
        <v>6075</v>
      </c>
      <c r="G52" s="1">
        <v>1340277.95</v>
      </c>
    </row>
    <row r="53" spans="1:7" x14ac:dyDescent="0.25">
      <c r="A53" s="2">
        <v>43011</v>
      </c>
      <c r="B53" s="2">
        <v>43011</v>
      </c>
      <c r="C53" t="str">
        <f>"3727600485|103"</f>
        <v>3727600485|103</v>
      </c>
      <c r="D53" t="s">
        <v>678</v>
      </c>
      <c r="F53" s="1">
        <v>3000</v>
      </c>
      <c r="G53" s="1">
        <v>1343277.95</v>
      </c>
    </row>
    <row r="54" spans="1:7" x14ac:dyDescent="0.25">
      <c r="A54" s="2">
        <v>43011</v>
      </c>
      <c r="B54" s="2">
        <v>43011</v>
      </c>
      <c r="C54" t="str">
        <f>"0001200303101711300098813"</f>
        <v>0001200303101711300098813</v>
      </c>
      <c r="D54" t="s">
        <v>679</v>
      </c>
      <c r="F54">
        <v>986</v>
      </c>
      <c r="G54" s="1">
        <v>1344263.95</v>
      </c>
    </row>
    <row r="55" spans="1:7" x14ac:dyDescent="0.25">
      <c r="A55" s="2">
        <v>43011</v>
      </c>
      <c r="B55" s="2">
        <v>43011</v>
      </c>
      <c r="C55" t="str">
        <f>"0001200203101715090041993"</f>
        <v>0001200203101715090041993</v>
      </c>
      <c r="D55" t="s">
        <v>110</v>
      </c>
      <c r="F55">
        <v>310</v>
      </c>
      <c r="G55" s="1">
        <v>1344573.95</v>
      </c>
    </row>
    <row r="56" spans="1:7" x14ac:dyDescent="0.25">
      <c r="A56" s="2">
        <v>43011</v>
      </c>
      <c r="B56" s="2">
        <v>43011</v>
      </c>
      <c r="C56" t="str">
        <f>"0001200203101715090041995"</f>
        <v>0001200203101715090041995</v>
      </c>
      <c r="D56" t="s">
        <v>110</v>
      </c>
      <c r="F56">
        <v>8</v>
      </c>
      <c r="G56" s="1">
        <v>1344581.95</v>
      </c>
    </row>
    <row r="57" spans="1:7" x14ac:dyDescent="0.25">
      <c r="A57" s="2">
        <v>43011</v>
      </c>
      <c r="B57" s="2">
        <v>43011</v>
      </c>
      <c r="C57" t="str">
        <f t="shared" ref="C57:C62" si="0">"990310TBMA00"</f>
        <v>990310TBMA00</v>
      </c>
      <c r="D57" t="s">
        <v>680</v>
      </c>
      <c r="E57">
        <v>10</v>
      </c>
      <c r="G57" s="1">
        <v>1344571.95</v>
      </c>
    </row>
    <row r="58" spans="1:7" x14ac:dyDescent="0.25">
      <c r="A58" s="2">
        <v>43011</v>
      </c>
      <c r="B58" s="2">
        <v>43011</v>
      </c>
      <c r="C58" t="str">
        <f t="shared" si="0"/>
        <v>990310TBMA00</v>
      </c>
      <c r="D58" t="s">
        <v>681</v>
      </c>
      <c r="E58">
        <v>10</v>
      </c>
      <c r="G58" s="1">
        <v>1344561.95</v>
      </c>
    </row>
    <row r="59" spans="1:7" x14ac:dyDescent="0.25">
      <c r="A59" s="2">
        <v>43011</v>
      </c>
      <c r="B59" s="2">
        <v>43011</v>
      </c>
      <c r="C59" t="str">
        <f t="shared" si="0"/>
        <v>990310TBMA00</v>
      </c>
      <c r="D59" t="s">
        <v>680</v>
      </c>
      <c r="E59">
        <v>1</v>
      </c>
      <c r="G59" s="1">
        <v>1344560.95</v>
      </c>
    </row>
    <row r="60" spans="1:7" x14ac:dyDescent="0.25">
      <c r="A60" s="2">
        <v>43011</v>
      </c>
      <c r="B60" s="2">
        <v>43011</v>
      </c>
      <c r="C60" t="str">
        <f t="shared" si="0"/>
        <v>990310TBMA00</v>
      </c>
      <c r="D60" t="s">
        <v>680</v>
      </c>
      <c r="F60" s="1">
        <v>5253.49</v>
      </c>
      <c r="G60" s="1">
        <v>1349814.44</v>
      </c>
    </row>
    <row r="61" spans="1:7" x14ac:dyDescent="0.25">
      <c r="A61" s="2">
        <v>43011</v>
      </c>
      <c r="B61" s="2">
        <v>43011</v>
      </c>
      <c r="C61" t="str">
        <f t="shared" si="0"/>
        <v>990310TBMA00</v>
      </c>
      <c r="D61" t="s">
        <v>681</v>
      </c>
      <c r="E61">
        <v>1</v>
      </c>
      <c r="G61" s="1">
        <v>1349813.44</v>
      </c>
    </row>
    <row r="62" spans="1:7" x14ac:dyDescent="0.25">
      <c r="A62" s="2">
        <v>43011</v>
      </c>
      <c r="B62" s="2">
        <v>43011</v>
      </c>
      <c r="C62" t="str">
        <f t="shared" si="0"/>
        <v>990310TBMA00</v>
      </c>
      <c r="D62" t="s">
        <v>681</v>
      </c>
      <c r="F62" s="1">
        <v>8818.8700000000008</v>
      </c>
      <c r="G62" s="1">
        <v>1358632.31</v>
      </c>
    </row>
    <row r="63" spans="1:7" x14ac:dyDescent="0.25">
      <c r="A63" s="2">
        <v>43011</v>
      </c>
      <c r="B63" s="2">
        <v>43011</v>
      </c>
      <c r="C63" t="str">
        <f>"013RTGS172760009|103"</f>
        <v>013RTGS172760009|103</v>
      </c>
      <c r="D63" t="s">
        <v>682</v>
      </c>
      <c r="F63">
        <v>484</v>
      </c>
      <c r="G63" s="1">
        <v>1359116.31</v>
      </c>
    </row>
    <row r="64" spans="1:7" x14ac:dyDescent="0.25">
      <c r="A64" s="2">
        <v>43012</v>
      </c>
      <c r="B64" s="2">
        <v>43012</v>
      </c>
      <c r="C64" t="str">
        <f>"0001203904101709210055236"</f>
        <v>0001203904101709210055236</v>
      </c>
      <c r="D64" t="s">
        <v>683</v>
      </c>
      <c r="F64">
        <v>30</v>
      </c>
      <c r="G64" s="1">
        <v>1359146.31</v>
      </c>
    </row>
    <row r="65" spans="1:7" x14ac:dyDescent="0.25">
      <c r="A65" s="2">
        <v>43012</v>
      </c>
      <c r="B65" s="2">
        <v>43012</v>
      </c>
      <c r="C65" t="str">
        <f>"F51003596032000|103"</f>
        <v>F51003596032000|103</v>
      </c>
      <c r="D65" t="s">
        <v>684</v>
      </c>
      <c r="F65" s="1">
        <v>3119</v>
      </c>
      <c r="G65" s="1">
        <v>1362265.31</v>
      </c>
    </row>
    <row r="66" spans="1:7" x14ac:dyDescent="0.25">
      <c r="A66" s="2">
        <v>43012</v>
      </c>
      <c r="B66" s="2">
        <v>43012</v>
      </c>
      <c r="C66" t="str">
        <f>"5209100276FC|103"</f>
        <v>5209100276FC|103</v>
      </c>
      <c r="D66" t="s">
        <v>685</v>
      </c>
      <c r="F66">
        <v>646</v>
      </c>
      <c r="G66" s="1">
        <v>1362911.31</v>
      </c>
    </row>
    <row r="67" spans="1:7" x14ac:dyDescent="0.25">
      <c r="A67" s="2">
        <v>43012</v>
      </c>
      <c r="B67" s="2">
        <v>43012</v>
      </c>
      <c r="C67" t="str">
        <f>"SE07801710041574|103"</f>
        <v>SE07801710041574|103</v>
      </c>
      <c r="D67" t="s">
        <v>686</v>
      </c>
      <c r="F67" s="1">
        <v>3808</v>
      </c>
      <c r="G67" s="1">
        <v>1366719.31</v>
      </c>
    </row>
    <row r="68" spans="1:7" x14ac:dyDescent="0.25">
      <c r="A68" s="2">
        <v>43012</v>
      </c>
      <c r="B68" s="2">
        <v>43012</v>
      </c>
      <c r="C68" t="str">
        <f>"FT17277XVC1P|103"</f>
        <v>FT17277XVC1P|103</v>
      </c>
      <c r="D68" t="s">
        <v>687</v>
      </c>
      <c r="F68" s="1">
        <v>1139</v>
      </c>
      <c r="G68" s="1">
        <v>1367858.31</v>
      </c>
    </row>
    <row r="69" spans="1:7" x14ac:dyDescent="0.25">
      <c r="A69" s="2">
        <v>43012</v>
      </c>
      <c r="B69" s="2">
        <v>43012</v>
      </c>
      <c r="C69" t="str">
        <f>"F51003596032000|103"</f>
        <v>F51003596032000|103</v>
      </c>
      <c r="D69" t="s">
        <v>688</v>
      </c>
      <c r="E69">
        <v>10</v>
      </c>
      <c r="G69" s="1">
        <v>1367848.31</v>
      </c>
    </row>
    <row r="70" spans="1:7" x14ac:dyDescent="0.25">
      <c r="A70" s="2">
        <v>43012</v>
      </c>
      <c r="B70" s="2">
        <v>43012</v>
      </c>
      <c r="C70" t="str">
        <f>"5209100276FC|103"</f>
        <v>5209100276FC|103</v>
      </c>
      <c r="D70" t="s">
        <v>689</v>
      </c>
      <c r="E70">
        <v>6.46</v>
      </c>
      <c r="G70" s="1">
        <v>1367841.85</v>
      </c>
    </row>
    <row r="71" spans="1:7" x14ac:dyDescent="0.25">
      <c r="A71" s="2">
        <v>43012</v>
      </c>
      <c r="B71" s="2">
        <v>43012</v>
      </c>
      <c r="C71" t="str">
        <f>"0001200204101715220043223"</f>
        <v>0001200204101715220043223</v>
      </c>
      <c r="D71" t="s">
        <v>110</v>
      </c>
      <c r="F71">
        <v>950</v>
      </c>
      <c r="G71" s="1">
        <v>1368791.85</v>
      </c>
    </row>
    <row r="72" spans="1:7" x14ac:dyDescent="0.25">
      <c r="A72" s="2">
        <v>43012</v>
      </c>
      <c r="B72" s="2">
        <v>43012</v>
      </c>
      <c r="C72" t="str">
        <f>"0001200204101715230043224"</f>
        <v>0001200204101715230043224</v>
      </c>
      <c r="D72" t="s">
        <v>110</v>
      </c>
      <c r="F72" s="1">
        <v>3075</v>
      </c>
      <c r="G72" s="1">
        <v>1371866.85</v>
      </c>
    </row>
    <row r="73" spans="1:7" x14ac:dyDescent="0.25">
      <c r="A73" s="2">
        <v>43012</v>
      </c>
      <c r="B73" s="2">
        <v>43012</v>
      </c>
      <c r="C73" t="str">
        <f>"0001209904101715230566298"</f>
        <v>0001209904101715230566298</v>
      </c>
      <c r="D73" t="s">
        <v>690</v>
      </c>
      <c r="E73">
        <v>300</v>
      </c>
      <c r="G73" s="1">
        <v>1371566.85</v>
      </c>
    </row>
    <row r="74" spans="1:7" x14ac:dyDescent="0.25">
      <c r="A74" s="2">
        <v>43012</v>
      </c>
      <c r="B74" s="2">
        <v>43012</v>
      </c>
      <c r="C74" t="str">
        <f>"0001209904101715230566298"</f>
        <v>0001209904101715230566298</v>
      </c>
      <c r="D74" t="s">
        <v>248</v>
      </c>
      <c r="E74">
        <v>14.51</v>
      </c>
      <c r="G74" s="1">
        <v>1371552.34</v>
      </c>
    </row>
    <row r="75" spans="1:7" x14ac:dyDescent="0.25">
      <c r="A75" s="2">
        <v>43012</v>
      </c>
      <c r="B75" s="2">
        <v>43012</v>
      </c>
      <c r="C75" t="str">
        <f>"0001209904101715230566298"</f>
        <v>0001209904101715230566298</v>
      </c>
      <c r="D75" t="s">
        <v>249</v>
      </c>
      <c r="E75">
        <v>1.45</v>
      </c>
      <c r="G75" s="1">
        <v>1371550.89</v>
      </c>
    </row>
    <row r="76" spans="1:7" x14ac:dyDescent="0.25">
      <c r="A76" s="2">
        <v>43012</v>
      </c>
      <c r="B76" s="2">
        <v>43012</v>
      </c>
      <c r="C76" t="str">
        <f>"990410TBMA01"</f>
        <v>990410TBMA01</v>
      </c>
      <c r="D76" t="s">
        <v>691</v>
      </c>
      <c r="E76">
        <v>1</v>
      </c>
      <c r="G76" s="1">
        <v>1371549.89</v>
      </c>
    </row>
    <row r="77" spans="1:7" x14ac:dyDescent="0.25">
      <c r="A77" s="2">
        <v>43012</v>
      </c>
      <c r="B77" s="2">
        <v>43012</v>
      </c>
      <c r="C77" t="str">
        <f>"990410TBMA02"</f>
        <v>990410TBMA02</v>
      </c>
      <c r="D77" t="s">
        <v>692</v>
      </c>
      <c r="F77" s="1">
        <v>9227</v>
      </c>
      <c r="G77" s="1">
        <v>1380776.89</v>
      </c>
    </row>
    <row r="78" spans="1:7" x14ac:dyDescent="0.25">
      <c r="A78" s="2">
        <v>43012</v>
      </c>
      <c r="B78" s="2">
        <v>43012</v>
      </c>
      <c r="C78" t="str">
        <f>"990410TBMA02"</f>
        <v>990410TBMA02</v>
      </c>
      <c r="D78" t="s">
        <v>692</v>
      </c>
      <c r="E78">
        <v>10</v>
      </c>
      <c r="G78" s="1">
        <v>1380766.89</v>
      </c>
    </row>
    <row r="79" spans="1:7" x14ac:dyDescent="0.25">
      <c r="A79" s="2">
        <v>43012</v>
      </c>
      <c r="B79" s="2">
        <v>43012</v>
      </c>
      <c r="C79" t="str">
        <f>"990410TBMA02"</f>
        <v>990410TBMA02</v>
      </c>
      <c r="D79" t="s">
        <v>692</v>
      </c>
      <c r="E79">
        <v>1</v>
      </c>
      <c r="G79" s="1">
        <v>1380765.89</v>
      </c>
    </row>
    <row r="80" spans="1:7" x14ac:dyDescent="0.25">
      <c r="A80" s="2">
        <v>43013</v>
      </c>
      <c r="B80" s="2">
        <v>43013</v>
      </c>
      <c r="C80" t="str">
        <f>"00000000"</f>
        <v>00000000</v>
      </c>
      <c r="D80" t="s">
        <v>693</v>
      </c>
      <c r="F80">
        <v>380</v>
      </c>
      <c r="G80" s="1">
        <v>1381145.89</v>
      </c>
    </row>
    <row r="81" spans="1:7" x14ac:dyDescent="0.25">
      <c r="A81" s="2">
        <v>43013</v>
      </c>
      <c r="B81" s="2">
        <v>43013</v>
      </c>
      <c r="C81" t="str">
        <f>"00000000"</f>
        <v>00000000</v>
      </c>
      <c r="D81" t="s">
        <v>694</v>
      </c>
      <c r="F81">
        <v>360</v>
      </c>
      <c r="G81" s="1">
        <v>1381505.89</v>
      </c>
    </row>
    <row r="82" spans="1:7" x14ac:dyDescent="0.25">
      <c r="A82" s="2">
        <v>43013</v>
      </c>
      <c r="B82" s="2">
        <v>43013</v>
      </c>
      <c r="C82" t="str">
        <f>"00106826  "</f>
        <v xml:space="preserve">00106826  </v>
      </c>
      <c r="D82" t="s">
        <v>695</v>
      </c>
      <c r="E82" s="1">
        <v>1500</v>
      </c>
      <c r="G82" s="1">
        <v>1380005.89</v>
      </c>
    </row>
    <row r="83" spans="1:7" x14ac:dyDescent="0.25">
      <c r="A83" s="2">
        <v>43013</v>
      </c>
      <c r="B83" s="2">
        <v>43012</v>
      </c>
      <c r="C83" t="str">
        <f>"FT172753YSLC|103"</f>
        <v>FT172753YSLC|103</v>
      </c>
      <c r="D83" t="s">
        <v>696</v>
      </c>
      <c r="F83" s="1">
        <v>9025</v>
      </c>
      <c r="G83" s="1">
        <v>1389030.89</v>
      </c>
    </row>
    <row r="84" spans="1:7" x14ac:dyDescent="0.25">
      <c r="A84" s="2">
        <v>43013</v>
      </c>
      <c r="B84" s="2">
        <v>43012</v>
      </c>
      <c r="C84" t="str">
        <f>"FT1727783GB2|103"</f>
        <v>FT1727783GB2|103</v>
      </c>
      <c r="D84" t="s">
        <v>697</v>
      </c>
      <c r="F84" s="1">
        <v>10268</v>
      </c>
      <c r="G84" s="1">
        <v>1399298.89</v>
      </c>
    </row>
    <row r="85" spans="1:7" x14ac:dyDescent="0.25">
      <c r="A85" s="2">
        <v>43013</v>
      </c>
      <c r="B85" s="2">
        <v>43012</v>
      </c>
      <c r="C85" t="str">
        <f>"3727702526|103"</f>
        <v>3727702526|103</v>
      </c>
      <c r="D85" t="s">
        <v>698</v>
      </c>
      <c r="F85" s="1">
        <v>10391</v>
      </c>
      <c r="G85" s="1">
        <v>1409689.89</v>
      </c>
    </row>
    <row r="86" spans="1:7" x14ac:dyDescent="0.25">
      <c r="A86" s="2">
        <v>43013</v>
      </c>
      <c r="B86" s="2">
        <v>43012</v>
      </c>
      <c r="C86" t="str">
        <f>"3727702544|103"</f>
        <v>3727702544|103</v>
      </c>
      <c r="D86" t="s">
        <v>699</v>
      </c>
      <c r="F86" s="1">
        <v>3624</v>
      </c>
      <c r="G86" s="1">
        <v>1413313.89</v>
      </c>
    </row>
    <row r="87" spans="1:7" x14ac:dyDescent="0.25">
      <c r="A87" s="2">
        <v>43013</v>
      </c>
      <c r="B87" s="2">
        <v>43013</v>
      </c>
      <c r="C87" t="str">
        <f>"SE07801710050338|103"</f>
        <v>SE07801710050338|103</v>
      </c>
      <c r="D87" t="s">
        <v>700</v>
      </c>
      <c r="F87" s="1">
        <v>7672</v>
      </c>
      <c r="G87" s="1">
        <v>1420985.89</v>
      </c>
    </row>
    <row r="88" spans="1:7" x14ac:dyDescent="0.25">
      <c r="A88" s="2">
        <v>43013</v>
      </c>
      <c r="B88" s="2">
        <v>43013</v>
      </c>
      <c r="C88" t="str">
        <f>"0001200205101715130044450"</f>
        <v>0001200205101715130044450</v>
      </c>
      <c r="D88" t="s">
        <v>110</v>
      </c>
      <c r="F88">
        <v>150</v>
      </c>
      <c r="G88" s="1">
        <v>1421135.89</v>
      </c>
    </row>
    <row r="89" spans="1:7" x14ac:dyDescent="0.25">
      <c r="A89" s="2">
        <v>43013</v>
      </c>
      <c r="B89" s="2">
        <v>43013</v>
      </c>
      <c r="C89" t="str">
        <f>"0001200205101715130044452"</f>
        <v>0001200205101715130044452</v>
      </c>
      <c r="D89" t="s">
        <v>110</v>
      </c>
      <c r="F89">
        <v>800</v>
      </c>
      <c r="G89" s="1">
        <v>1421935.89</v>
      </c>
    </row>
    <row r="90" spans="1:7" x14ac:dyDescent="0.25">
      <c r="A90" s="2">
        <v>43013</v>
      </c>
      <c r="B90" s="2">
        <v>43013</v>
      </c>
      <c r="C90" t="str">
        <f>"0001200205101715140044453"</f>
        <v>0001200205101715140044453</v>
      </c>
      <c r="D90" t="s">
        <v>110</v>
      </c>
      <c r="F90">
        <v>219</v>
      </c>
      <c r="G90" s="1">
        <v>1422154.89</v>
      </c>
    </row>
    <row r="91" spans="1:7" x14ac:dyDescent="0.25">
      <c r="A91" s="2">
        <v>43013</v>
      </c>
      <c r="B91" s="2">
        <v>43013</v>
      </c>
      <c r="C91" t="str">
        <f>"SE07801710051944|103"</f>
        <v>SE07801710051944|103</v>
      </c>
      <c r="D91" t="s">
        <v>701</v>
      </c>
      <c r="F91" s="1">
        <v>21883</v>
      </c>
      <c r="G91" s="1">
        <v>1444037.89</v>
      </c>
    </row>
    <row r="92" spans="1:7" x14ac:dyDescent="0.25">
      <c r="A92" s="2">
        <v>43013</v>
      </c>
      <c r="B92" s="2">
        <v>43013</v>
      </c>
      <c r="C92" t="str">
        <f>"998ORTG172780040|103"</f>
        <v>998ORTG172780040|103</v>
      </c>
      <c r="D92" t="s">
        <v>702</v>
      </c>
      <c r="F92" s="1">
        <v>2543</v>
      </c>
      <c r="G92" s="1">
        <v>1446580.89</v>
      </c>
    </row>
    <row r="93" spans="1:7" x14ac:dyDescent="0.25">
      <c r="A93" s="2">
        <v>43013</v>
      </c>
      <c r="B93" s="2">
        <v>43013</v>
      </c>
      <c r="C93" t="str">
        <f>"FT17278DLQQ6|103"</f>
        <v>FT17278DLQQ6|103</v>
      </c>
      <c r="D93" t="s">
        <v>703</v>
      </c>
      <c r="F93" s="1">
        <v>10755</v>
      </c>
      <c r="G93" s="1">
        <v>1457335.89</v>
      </c>
    </row>
    <row r="94" spans="1:7" x14ac:dyDescent="0.25">
      <c r="A94" s="2">
        <v>43013</v>
      </c>
      <c r="B94" s="2">
        <v>43013</v>
      </c>
      <c r="C94" t="str">
        <f>"013RTGS172780002|103"</f>
        <v>013RTGS172780002|103</v>
      </c>
      <c r="D94" t="s">
        <v>704</v>
      </c>
      <c r="F94" s="1">
        <v>27305</v>
      </c>
      <c r="G94" s="1">
        <v>1484640.89</v>
      </c>
    </row>
    <row r="95" spans="1:7" x14ac:dyDescent="0.25">
      <c r="A95" s="2">
        <v>43014</v>
      </c>
      <c r="B95" s="2">
        <v>43014</v>
      </c>
      <c r="C95" t="str">
        <f>"00000000"</f>
        <v>00000000</v>
      </c>
      <c r="D95" t="s">
        <v>705</v>
      </c>
      <c r="F95" s="1">
        <v>6949</v>
      </c>
      <c r="G95" s="1">
        <v>1491589.89</v>
      </c>
    </row>
    <row r="96" spans="1:7" x14ac:dyDescent="0.25">
      <c r="A96" s="2">
        <v>43014</v>
      </c>
      <c r="B96" s="2">
        <v>43014</v>
      </c>
      <c r="C96" t="str">
        <f>"022FT10172770037|103"</f>
        <v>022FT10172770037|103</v>
      </c>
      <c r="D96" t="s">
        <v>706</v>
      </c>
      <c r="F96" s="1">
        <v>3249</v>
      </c>
      <c r="G96" s="1">
        <v>1494838.89</v>
      </c>
    </row>
    <row r="97" spans="1:7" x14ac:dyDescent="0.25">
      <c r="A97" s="2">
        <v>43014</v>
      </c>
      <c r="B97" s="2">
        <v>43014</v>
      </c>
      <c r="C97" t="str">
        <f>"3727900423|103"</f>
        <v>3727900423|103</v>
      </c>
      <c r="D97" t="s">
        <v>707</v>
      </c>
      <c r="F97" s="1">
        <v>1464.9</v>
      </c>
      <c r="G97" s="1">
        <v>1496303.79</v>
      </c>
    </row>
    <row r="98" spans="1:7" x14ac:dyDescent="0.25">
      <c r="A98" s="2">
        <v>43014</v>
      </c>
      <c r="B98" s="2">
        <v>43014</v>
      </c>
      <c r="C98" t="str">
        <f>"3727900286|103"</f>
        <v>3727900286|103</v>
      </c>
      <c r="D98" t="s">
        <v>708</v>
      </c>
      <c r="F98">
        <v>758</v>
      </c>
      <c r="G98" s="1">
        <v>1497061.79</v>
      </c>
    </row>
    <row r="99" spans="1:7" x14ac:dyDescent="0.25">
      <c r="A99" s="2">
        <v>43014</v>
      </c>
      <c r="B99" s="2">
        <v>43014</v>
      </c>
      <c r="C99" t="str">
        <f>"SE07801710063264|103"</f>
        <v>SE07801710063264|103</v>
      </c>
      <c r="D99" t="s">
        <v>709</v>
      </c>
      <c r="F99">
        <v>618</v>
      </c>
      <c r="G99" s="1">
        <v>1497679.79</v>
      </c>
    </row>
    <row r="100" spans="1:7" x14ac:dyDescent="0.25">
      <c r="A100" s="2">
        <v>43014</v>
      </c>
      <c r="B100" s="2">
        <v>43014</v>
      </c>
      <c r="C100" t="str">
        <f>"IR07801710061496|103"</f>
        <v>IR07801710061496|103</v>
      </c>
      <c r="D100" t="s">
        <v>710</v>
      </c>
      <c r="F100">
        <v>121</v>
      </c>
      <c r="G100" s="1">
        <v>1497800.79</v>
      </c>
    </row>
    <row r="101" spans="1:7" x14ac:dyDescent="0.25">
      <c r="A101" s="2">
        <v>43014</v>
      </c>
      <c r="B101" s="2">
        <v>43014</v>
      </c>
      <c r="C101" t="str">
        <f>"SE07801710062834|103"</f>
        <v>SE07801710062834|103</v>
      </c>
      <c r="D101" t="s">
        <v>711</v>
      </c>
      <c r="F101" s="1">
        <v>3856</v>
      </c>
      <c r="G101" s="1">
        <v>1501656.79</v>
      </c>
    </row>
    <row r="102" spans="1:7" x14ac:dyDescent="0.25">
      <c r="A102" s="2">
        <v>43014</v>
      </c>
      <c r="B102" s="2">
        <v>43014</v>
      </c>
      <c r="C102" t="str">
        <f>"SE07801710063262|103"</f>
        <v>SE07801710063262|103</v>
      </c>
      <c r="D102" t="s">
        <v>712</v>
      </c>
      <c r="F102">
        <v>358</v>
      </c>
      <c r="G102" s="1">
        <v>1502014.79</v>
      </c>
    </row>
    <row r="103" spans="1:7" x14ac:dyDescent="0.25">
      <c r="A103" s="2">
        <v>43014</v>
      </c>
      <c r="B103" s="2">
        <v>43014</v>
      </c>
      <c r="C103" t="str">
        <f>"SE07801710063266|103"</f>
        <v>SE07801710063266|103</v>
      </c>
      <c r="D103" t="s">
        <v>713</v>
      </c>
      <c r="F103">
        <v>208</v>
      </c>
      <c r="G103" s="1">
        <v>1502222.79</v>
      </c>
    </row>
    <row r="104" spans="1:7" x14ac:dyDescent="0.25">
      <c r="A104" s="2">
        <v>43014</v>
      </c>
      <c r="B104" s="2">
        <v>43014</v>
      </c>
      <c r="C104" t="str">
        <f>"SE07801710063260|103"</f>
        <v>SE07801710063260|103</v>
      </c>
      <c r="D104" t="s">
        <v>714</v>
      </c>
      <c r="F104">
        <v>762</v>
      </c>
      <c r="G104" s="1">
        <v>1502984.79</v>
      </c>
    </row>
    <row r="105" spans="1:7" x14ac:dyDescent="0.25">
      <c r="A105" s="2">
        <v>43014</v>
      </c>
      <c r="B105" s="2">
        <v>43014</v>
      </c>
      <c r="C105" t="str">
        <f>"3727901185|103"</f>
        <v>3727901185|103</v>
      </c>
      <c r="D105" t="s">
        <v>715</v>
      </c>
      <c r="F105" s="1">
        <v>6400</v>
      </c>
      <c r="G105" s="1">
        <v>1509384.79</v>
      </c>
    </row>
    <row r="106" spans="1:7" x14ac:dyDescent="0.25">
      <c r="A106" s="2">
        <v>43014</v>
      </c>
      <c r="B106" s="2">
        <v>43014</v>
      </c>
      <c r="C106" t="str">
        <f>"990610TBMA00"</f>
        <v>990610TBMA00</v>
      </c>
      <c r="D106" t="s">
        <v>716</v>
      </c>
      <c r="E106">
        <v>0.65</v>
      </c>
      <c r="G106" s="1">
        <v>1509384.14</v>
      </c>
    </row>
    <row r="107" spans="1:7" x14ac:dyDescent="0.25">
      <c r="A107" s="2">
        <v>43014</v>
      </c>
      <c r="B107" s="2">
        <v>43014</v>
      </c>
      <c r="C107" t="str">
        <f>"990610TBMA00"</f>
        <v>990610TBMA00</v>
      </c>
      <c r="D107" t="s">
        <v>717</v>
      </c>
      <c r="E107">
        <v>1</v>
      </c>
      <c r="G107" s="1">
        <v>1509383.14</v>
      </c>
    </row>
    <row r="108" spans="1:7" x14ac:dyDescent="0.25">
      <c r="A108" s="2">
        <v>43014</v>
      </c>
      <c r="B108" s="2">
        <v>43014</v>
      </c>
      <c r="C108" t="str">
        <f>"3727902442|103"</f>
        <v>3727902442|103</v>
      </c>
      <c r="D108" t="s">
        <v>718</v>
      </c>
      <c r="F108" s="1">
        <v>3843</v>
      </c>
      <c r="G108" s="1">
        <v>1513226.14</v>
      </c>
    </row>
    <row r="109" spans="1:7" x14ac:dyDescent="0.25">
      <c r="A109" s="2">
        <v>43014</v>
      </c>
      <c r="B109" s="2">
        <v>43014</v>
      </c>
      <c r="C109" t="str">
        <f>"990610TBMA01"</f>
        <v>990610TBMA01</v>
      </c>
      <c r="D109" t="s">
        <v>719</v>
      </c>
      <c r="E109">
        <v>5</v>
      </c>
      <c r="G109" s="1">
        <v>1513221.14</v>
      </c>
    </row>
    <row r="110" spans="1:7" x14ac:dyDescent="0.25">
      <c r="A110" s="2">
        <v>43014</v>
      </c>
      <c r="B110" s="2">
        <v>43014</v>
      </c>
      <c r="C110" t="str">
        <f>"990610TBMA01"</f>
        <v>990610TBMA01</v>
      </c>
      <c r="D110" t="s">
        <v>719</v>
      </c>
      <c r="F110">
        <v>85</v>
      </c>
      <c r="G110" s="1">
        <v>1513306.14</v>
      </c>
    </row>
    <row r="111" spans="1:7" x14ac:dyDescent="0.25">
      <c r="A111" s="2">
        <v>43014</v>
      </c>
      <c r="B111" s="2">
        <v>43014</v>
      </c>
      <c r="C111" t="str">
        <f>"990610TBMA01"</f>
        <v>990610TBMA01</v>
      </c>
      <c r="D111" t="s">
        <v>719</v>
      </c>
      <c r="E111">
        <v>0.5</v>
      </c>
      <c r="G111" s="1">
        <v>1513305.64</v>
      </c>
    </row>
    <row r="112" spans="1:7" x14ac:dyDescent="0.25">
      <c r="A112" s="2">
        <v>43017</v>
      </c>
      <c r="B112" s="2">
        <v>43017</v>
      </c>
      <c r="C112" t="str">
        <f>"00106827  "</f>
        <v xml:space="preserve">00106827  </v>
      </c>
      <c r="D112" t="s">
        <v>720</v>
      </c>
      <c r="E112" s="1">
        <v>5803</v>
      </c>
      <c r="G112" s="1">
        <v>1507502.64</v>
      </c>
    </row>
    <row r="113" spans="1:7" x14ac:dyDescent="0.25">
      <c r="A113" s="2">
        <v>43017</v>
      </c>
      <c r="B113" s="2">
        <v>43017</v>
      </c>
      <c r="C113" t="str">
        <f>"00106851  "</f>
        <v xml:space="preserve">00106851  </v>
      </c>
      <c r="D113" t="s">
        <v>721</v>
      </c>
      <c r="E113">
        <v>130</v>
      </c>
      <c r="G113" s="1">
        <v>1507372.64</v>
      </c>
    </row>
    <row r="114" spans="1:7" x14ac:dyDescent="0.25">
      <c r="A114" s="2">
        <v>43017</v>
      </c>
      <c r="B114" s="2">
        <v>43017</v>
      </c>
      <c r="C114" t="str">
        <f>"00000000"</f>
        <v>00000000</v>
      </c>
      <c r="D114" t="s">
        <v>722</v>
      </c>
      <c r="F114" s="1">
        <v>1568</v>
      </c>
      <c r="G114" s="1">
        <v>1508940.64</v>
      </c>
    </row>
    <row r="115" spans="1:7" x14ac:dyDescent="0.25">
      <c r="A115" s="2">
        <v>43017</v>
      </c>
      <c r="B115" s="2">
        <v>43017</v>
      </c>
      <c r="C115" t="str">
        <f>"00000000"</f>
        <v>00000000</v>
      </c>
      <c r="D115" t="s">
        <v>723</v>
      </c>
      <c r="F115" s="1">
        <v>2883</v>
      </c>
      <c r="G115" s="1">
        <v>1511823.64</v>
      </c>
    </row>
    <row r="116" spans="1:7" x14ac:dyDescent="0.25">
      <c r="A116" s="2">
        <v>43017</v>
      </c>
      <c r="B116" s="2">
        <v>43017</v>
      </c>
      <c r="C116" t="str">
        <f>"00000000"</f>
        <v>00000000</v>
      </c>
      <c r="D116" t="s">
        <v>724</v>
      </c>
      <c r="F116" s="1">
        <v>6770</v>
      </c>
      <c r="G116" s="1">
        <v>1518593.64</v>
      </c>
    </row>
    <row r="117" spans="1:7" x14ac:dyDescent="0.25">
      <c r="A117" s="2">
        <v>43017</v>
      </c>
      <c r="B117" s="2">
        <v>43017</v>
      </c>
      <c r="C117" t="str">
        <f>"00000000"</f>
        <v>00000000</v>
      </c>
      <c r="D117" t="s">
        <v>725</v>
      </c>
      <c r="F117" s="1">
        <v>5607</v>
      </c>
      <c r="G117" s="1">
        <v>1524200.64</v>
      </c>
    </row>
    <row r="118" spans="1:7" x14ac:dyDescent="0.25">
      <c r="A118" s="2">
        <v>43017</v>
      </c>
      <c r="B118" s="2">
        <v>43017</v>
      </c>
      <c r="C118" t="str">
        <f>"C305613OCP100617|103"</f>
        <v>C305613OCP100617|103</v>
      </c>
      <c r="D118" t="s">
        <v>726</v>
      </c>
      <c r="E118">
        <v>10</v>
      </c>
      <c r="G118" s="1">
        <v>1524190.64</v>
      </c>
    </row>
    <row r="119" spans="1:7" x14ac:dyDescent="0.25">
      <c r="A119" s="2">
        <v>43017</v>
      </c>
      <c r="B119" s="2">
        <v>43017</v>
      </c>
      <c r="C119" t="str">
        <f>"C305613OCP100617|103"</f>
        <v>C305613OCP100617|103</v>
      </c>
      <c r="D119" t="s">
        <v>727</v>
      </c>
      <c r="F119" s="1">
        <v>300000</v>
      </c>
      <c r="G119" s="1">
        <v>1824190.64</v>
      </c>
    </row>
    <row r="120" spans="1:7" x14ac:dyDescent="0.25">
      <c r="A120" s="2">
        <v>43017</v>
      </c>
      <c r="B120" s="2">
        <v>43017</v>
      </c>
      <c r="C120" t="str">
        <f>"998ORTG172820005|103"</f>
        <v>998ORTG172820005|103</v>
      </c>
      <c r="D120" t="s">
        <v>728</v>
      </c>
      <c r="F120" s="1">
        <v>13885</v>
      </c>
      <c r="G120" s="1">
        <v>1838075.64</v>
      </c>
    </row>
    <row r="121" spans="1:7" x14ac:dyDescent="0.25">
      <c r="A121" s="2">
        <v>43017</v>
      </c>
      <c r="B121" s="2">
        <v>43017</v>
      </c>
      <c r="C121" t="str">
        <f>"FT17282LCDH6|103"</f>
        <v>FT17282LCDH6|103</v>
      </c>
      <c r="D121" t="s">
        <v>729</v>
      </c>
      <c r="F121">
        <v>260.68</v>
      </c>
      <c r="G121" s="1">
        <v>1838336.32</v>
      </c>
    </row>
    <row r="122" spans="1:7" x14ac:dyDescent="0.25">
      <c r="A122" s="2">
        <v>43017</v>
      </c>
      <c r="B122" s="2">
        <v>43017</v>
      </c>
      <c r="C122" t="str">
        <f>"998ORTG172820002|103"</f>
        <v>998ORTG172820002|103</v>
      </c>
      <c r="D122" t="s">
        <v>730</v>
      </c>
      <c r="F122">
        <v>954</v>
      </c>
      <c r="G122" s="1">
        <v>1839290.32</v>
      </c>
    </row>
    <row r="123" spans="1:7" x14ac:dyDescent="0.25">
      <c r="A123" s="2">
        <v>43017</v>
      </c>
      <c r="B123" s="2">
        <v>43017</v>
      </c>
      <c r="C123" t="str">
        <f>"0001200209101715500047681"</f>
        <v>0001200209101715500047681</v>
      </c>
      <c r="D123" t="s">
        <v>110</v>
      </c>
      <c r="F123" s="1">
        <v>2341</v>
      </c>
      <c r="G123" s="1">
        <v>1841631.32</v>
      </c>
    </row>
    <row r="124" spans="1:7" x14ac:dyDescent="0.25">
      <c r="A124" s="2">
        <v>43017</v>
      </c>
      <c r="B124" s="2">
        <v>43017</v>
      </c>
      <c r="C124" t="str">
        <f>"0001200209101715580047706"</f>
        <v>0001200209101715580047706</v>
      </c>
      <c r="D124" t="s">
        <v>211</v>
      </c>
      <c r="E124" s="1">
        <v>3697</v>
      </c>
      <c r="G124" s="1">
        <v>1837934.32</v>
      </c>
    </row>
    <row r="125" spans="1:7" x14ac:dyDescent="0.25">
      <c r="A125" s="2">
        <v>43017</v>
      </c>
      <c r="B125" s="2">
        <v>43017</v>
      </c>
      <c r="C125" t="str">
        <f>"013RTGS172820011|103"</f>
        <v>013RTGS172820011|103</v>
      </c>
      <c r="D125" t="s">
        <v>731</v>
      </c>
      <c r="F125" s="1">
        <v>1408</v>
      </c>
      <c r="G125" s="1">
        <v>1839342.32</v>
      </c>
    </row>
    <row r="126" spans="1:7" x14ac:dyDescent="0.25">
      <c r="A126" s="2">
        <v>43017</v>
      </c>
      <c r="B126" s="2">
        <v>43017</v>
      </c>
      <c r="C126" t="str">
        <f>"013RTGS172820009|103"</f>
        <v>013RTGS172820009|103</v>
      </c>
      <c r="D126" t="s">
        <v>732</v>
      </c>
      <c r="F126" s="1">
        <v>1269</v>
      </c>
      <c r="G126" s="1">
        <v>1840611.32</v>
      </c>
    </row>
    <row r="127" spans="1:7" x14ac:dyDescent="0.25">
      <c r="A127" s="2">
        <v>43017</v>
      </c>
      <c r="B127" s="2">
        <v>43017</v>
      </c>
      <c r="C127" t="str">
        <f>"FT17282NQYR0|103"</f>
        <v>FT17282NQYR0|103</v>
      </c>
      <c r="D127" t="s">
        <v>733</v>
      </c>
      <c r="F127" s="1">
        <v>16104</v>
      </c>
      <c r="G127" s="1">
        <v>1856715.32</v>
      </c>
    </row>
    <row r="128" spans="1:7" x14ac:dyDescent="0.25">
      <c r="A128" s="2">
        <v>43017</v>
      </c>
      <c r="B128" s="2">
        <v>43017</v>
      </c>
      <c r="C128" t="str">
        <f>"0001200209101716540047870"</f>
        <v>0001200209101716540047870</v>
      </c>
      <c r="D128" t="s">
        <v>211</v>
      </c>
      <c r="E128" s="1">
        <v>2341</v>
      </c>
      <c r="G128" s="1">
        <v>1854374.32</v>
      </c>
    </row>
    <row r="129" spans="1:7" x14ac:dyDescent="0.25">
      <c r="A129" s="2">
        <v>43017</v>
      </c>
      <c r="B129" s="2">
        <v>43017</v>
      </c>
      <c r="C129" t="str">
        <f>"0001200209101717120047928"</f>
        <v>0001200209101717120047928</v>
      </c>
      <c r="D129" t="s">
        <v>734</v>
      </c>
      <c r="E129" s="1">
        <v>2341</v>
      </c>
      <c r="G129" s="1">
        <v>1852033.32</v>
      </c>
    </row>
    <row r="130" spans="1:7" x14ac:dyDescent="0.25">
      <c r="A130" s="2">
        <v>43017</v>
      </c>
      <c r="B130" s="2">
        <v>43017</v>
      </c>
      <c r="C130" t="str">
        <f>"0001209909101718470567912"</f>
        <v>0001209909101718470567912</v>
      </c>
      <c r="D130" t="s">
        <v>735</v>
      </c>
      <c r="E130" s="1">
        <v>29017.439999999999</v>
      </c>
      <c r="G130" s="1">
        <v>1823015.88</v>
      </c>
    </row>
    <row r="131" spans="1:7" x14ac:dyDescent="0.25">
      <c r="A131" s="2">
        <v>43017</v>
      </c>
      <c r="B131" s="2">
        <v>43017</v>
      </c>
      <c r="C131" t="str">
        <f>"0001209909101718470567912"</f>
        <v>0001209909101718470567912</v>
      </c>
      <c r="D131" t="s">
        <v>248</v>
      </c>
      <c r="E131">
        <v>14.53</v>
      </c>
      <c r="G131" s="1">
        <v>1823001.35</v>
      </c>
    </row>
    <row r="132" spans="1:7" x14ac:dyDescent="0.25">
      <c r="A132" s="2">
        <v>43017</v>
      </c>
      <c r="B132" s="2">
        <v>43017</v>
      </c>
      <c r="C132" t="str">
        <f>"0001209909101718470567912"</f>
        <v>0001209909101718470567912</v>
      </c>
      <c r="D132" t="s">
        <v>249</v>
      </c>
      <c r="E132">
        <v>1.45</v>
      </c>
      <c r="G132" s="1">
        <v>1822999.9</v>
      </c>
    </row>
    <row r="133" spans="1:7" x14ac:dyDescent="0.25">
      <c r="A133" s="2">
        <v>43018</v>
      </c>
      <c r="B133" s="2">
        <v>43018</v>
      </c>
      <c r="C133" t="str">
        <f>"S06728307A7201|103"</f>
        <v>S06728307A7201|103</v>
      </c>
      <c r="D133" t="s">
        <v>736</v>
      </c>
      <c r="F133" s="1">
        <v>9871</v>
      </c>
      <c r="G133" s="1">
        <v>1832870.9</v>
      </c>
    </row>
    <row r="134" spans="1:7" x14ac:dyDescent="0.25">
      <c r="A134" s="2">
        <v>43018</v>
      </c>
      <c r="B134" s="2">
        <v>43018</v>
      </c>
      <c r="C134" t="str">
        <f>"3728301905|103"</f>
        <v>3728301905|103</v>
      </c>
      <c r="D134" t="s">
        <v>737</v>
      </c>
      <c r="F134">
        <v>52</v>
      </c>
      <c r="G134" s="1">
        <v>1832922.9</v>
      </c>
    </row>
    <row r="135" spans="1:7" x14ac:dyDescent="0.25">
      <c r="A135" s="2">
        <v>43018</v>
      </c>
      <c r="B135" s="2">
        <v>43018</v>
      </c>
      <c r="C135" t="str">
        <f>"0001200210101712070048362"</f>
        <v>0001200210101712070048362</v>
      </c>
      <c r="D135" t="s">
        <v>110</v>
      </c>
      <c r="F135">
        <v>650</v>
      </c>
      <c r="G135" s="1">
        <v>1833572.9</v>
      </c>
    </row>
    <row r="136" spans="1:7" x14ac:dyDescent="0.25">
      <c r="A136" s="2">
        <v>43018</v>
      </c>
      <c r="B136" s="2">
        <v>43018</v>
      </c>
      <c r="C136" t="str">
        <f>"0001200210101712070048364"</f>
        <v>0001200210101712070048364</v>
      </c>
      <c r="D136" t="s">
        <v>110</v>
      </c>
      <c r="F136">
        <v>855</v>
      </c>
      <c r="G136" s="1">
        <v>1834427.9</v>
      </c>
    </row>
    <row r="137" spans="1:7" x14ac:dyDescent="0.25">
      <c r="A137" s="2">
        <v>43018</v>
      </c>
      <c r="B137" s="2">
        <v>43018</v>
      </c>
      <c r="C137" t="str">
        <f>"0001200210101712140048380"</f>
        <v>0001200210101712140048380</v>
      </c>
      <c r="D137" t="s">
        <v>110</v>
      </c>
      <c r="F137">
        <v>340</v>
      </c>
      <c r="G137" s="1">
        <v>1834767.9</v>
      </c>
    </row>
    <row r="138" spans="1:7" x14ac:dyDescent="0.25">
      <c r="A138" s="2">
        <v>43018</v>
      </c>
      <c r="B138" s="2">
        <v>43018</v>
      </c>
      <c r="C138" t="str">
        <f>"0001200210101712150048382"</f>
        <v>0001200210101712150048382</v>
      </c>
      <c r="D138" t="s">
        <v>110</v>
      </c>
      <c r="F138" s="1">
        <v>1240</v>
      </c>
      <c r="G138" s="1">
        <v>1836007.9</v>
      </c>
    </row>
    <row r="139" spans="1:7" x14ac:dyDescent="0.25">
      <c r="A139" s="2">
        <v>43018</v>
      </c>
      <c r="B139" s="2">
        <v>43018</v>
      </c>
      <c r="C139" t="str">
        <f>"0001200210101712160048386"</f>
        <v>0001200210101712160048386</v>
      </c>
      <c r="D139" t="s">
        <v>110</v>
      </c>
      <c r="F139">
        <v>405</v>
      </c>
      <c r="G139" s="1">
        <v>1836412.9</v>
      </c>
    </row>
    <row r="140" spans="1:7" x14ac:dyDescent="0.25">
      <c r="A140" s="2">
        <v>43018</v>
      </c>
      <c r="B140" s="2">
        <v>43018</v>
      </c>
      <c r="C140" t="str">
        <f>"0001200210101712170048389"</f>
        <v>0001200210101712170048389</v>
      </c>
      <c r="D140" t="s">
        <v>110</v>
      </c>
      <c r="F140">
        <v>15</v>
      </c>
      <c r="G140" s="1">
        <v>1836427.9</v>
      </c>
    </row>
    <row r="141" spans="1:7" x14ac:dyDescent="0.25">
      <c r="A141" s="2">
        <v>43018</v>
      </c>
      <c r="B141" s="2">
        <v>43018</v>
      </c>
      <c r="C141" t="str">
        <f>"0001200210101712180048393"</f>
        <v>0001200210101712180048393</v>
      </c>
      <c r="D141" t="s">
        <v>110</v>
      </c>
      <c r="F141">
        <v>890</v>
      </c>
      <c r="G141" s="1">
        <v>1837317.9</v>
      </c>
    </row>
    <row r="142" spans="1:7" x14ac:dyDescent="0.25">
      <c r="A142" s="2">
        <v>43018</v>
      </c>
      <c r="B142" s="2">
        <v>43018</v>
      </c>
      <c r="C142" t="str">
        <f>"FT172836MSRM|103"</f>
        <v>FT172836MSRM|103</v>
      </c>
      <c r="D142" t="s">
        <v>738</v>
      </c>
      <c r="F142" s="1">
        <v>2710.68</v>
      </c>
      <c r="G142" s="1">
        <v>1840028.58</v>
      </c>
    </row>
    <row r="143" spans="1:7" x14ac:dyDescent="0.25">
      <c r="A143" s="2">
        <v>43018</v>
      </c>
      <c r="B143" s="2">
        <v>43018</v>
      </c>
      <c r="C143" t="str">
        <f>"0001203910101713580069161"</f>
        <v>0001203910101713580069161</v>
      </c>
      <c r="D143" t="s">
        <v>739</v>
      </c>
      <c r="F143">
        <v>22</v>
      </c>
      <c r="G143" s="1">
        <v>1840050.58</v>
      </c>
    </row>
    <row r="144" spans="1:7" x14ac:dyDescent="0.25">
      <c r="A144" s="2">
        <v>43018</v>
      </c>
      <c r="B144" s="2">
        <v>43018</v>
      </c>
      <c r="C144" t="str">
        <f>"00000000"</f>
        <v>00000000</v>
      </c>
      <c r="D144" t="s">
        <v>740</v>
      </c>
      <c r="F144">
        <v>680</v>
      </c>
      <c r="G144" s="1">
        <v>1840730.58</v>
      </c>
    </row>
    <row r="145" spans="1:7" x14ac:dyDescent="0.25">
      <c r="A145" s="2">
        <v>43018</v>
      </c>
      <c r="B145" s="2">
        <v>43018</v>
      </c>
      <c r="C145" t="str">
        <f>"00000000"</f>
        <v>00000000</v>
      </c>
      <c r="D145" t="s">
        <v>741</v>
      </c>
      <c r="F145" s="1">
        <v>2564</v>
      </c>
      <c r="G145" s="1">
        <v>1843294.58</v>
      </c>
    </row>
    <row r="146" spans="1:7" x14ac:dyDescent="0.25">
      <c r="A146" s="2">
        <v>43018</v>
      </c>
      <c r="B146" s="2">
        <v>43018</v>
      </c>
      <c r="C146" t="str">
        <f>"00000000"</f>
        <v>00000000</v>
      </c>
      <c r="D146" t="s">
        <v>742</v>
      </c>
      <c r="F146">
        <v>828</v>
      </c>
      <c r="G146" s="1">
        <v>1844122.58</v>
      </c>
    </row>
    <row r="147" spans="1:7" x14ac:dyDescent="0.25">
      <c r="A147" s="2">
        <v>43018</v>
      </c>
      <c r="B147" s="2">
        <v>43018</v>
      </c>
      <c r="C147" t="str">
        <f>"00000000"</f>
        <v>00000000</v>
      </c>
      <c r="D147" t="s">
        <v>743</v>
      </c>
      <c r="F147">
        <v>325</v>
      </c>
      <c r="G147" s="1">
        <v>1844447.58</v>
      </c>
    </row>
    <row r="148" spans="1:7" x14ac:dyDescent="0.25">
      <c r="A148" s="2">
        <v>43018</v>
      </c>
      <c r="B148" s="2">
        <v>43018</v>
      </c>
      <c r="C148" t="str">
        <f>"991010TBMA00"</f>
        <v>991010TBMA00</v>
      </c>
      <c r="D148" t="s">
        <v>744</v>
      </c>
      <c r="E148">
        <v>1</v>
      </c>
      <c r="G148" s="1">
        <v>1844446.58</v>
      </c>
    </row>
    <row r="149" spans="1:7" x14ac:dyDescent="0.25">
      <c r="A149" s="2">
        <v>43018</v>
      </c>
      <c r="B149" s="2">
        <v>43018</v>
      </c>
      <c r="C149" t="str">
        <f>"FT17283SJHRW|103"</f>
        <v>FT17283SJHRW|103</v>
      </c>
      <c r="D149" t="s">
        <v>745</v>
      </c>
      <c r="F149" s="1">
        <v>13626</v>
      </c>
      <c r="G149" s="1">
        <v>1858072.58</v>
      </c>
    </row>
    <row r="150" spans="1:7" x14ac:dyDescent="0.25">
      <c r="A150" s="2">
        <v>43019</v>
      </c>
      <c r="B150" s="2">
        <v>43019</v>
      </c>
      <c r="C150" t="str">
        <f>"00106852  "</f>
        <v xml:space="preserve">00106852  </v>
      </c>
      <c r="D150" t="s">
        <v>746</v>
      </c>
      <c r="E150" s="1">
        <v>3528.24</v>
      </c>
      <c r="G150" s="1">
        <v>1854544.34</v>
      </c>
    </row>
    <row r="151" spans="1:7" x14ac:dyDescent="0.25">
      <c r="A151" s="2">
        <v>43019</v>
      </c>
      <c r="B151" s="2">
        <v>43019</v>
      </c>
      <c r="C151" t="str">
        <f>"FT1728318NHT|103"</f>
        <v>FT1728318NHT|103</v>
      </c>
      <c r="D151" t="s">
        <v>747</v>
      </c>
      <c r="F151">
        <v>390</v>
      </c>
      <c r="G151" s="1">
        <v>1854934.34</v>
      </c>
    </row>
    <row r="152" spans="1:7" x14ac:dyDescent="0.25">
      <c r="A152" s="2">
        <v>43019</v>
      </c>
      <c r="B152" s="2">
        <v>43019</v>
      </c>
      <c r="C152" t="str">
        <f>"2017101000170892|103"</f>
        <v>2017101000170892|103</v>
      </c>
      <c r="D152" t="s">
        <v>748</v>
      </c>
      <c r="E152">
        <v>10</v>
      </c>
      <c r="G152" s="1">
        <v>1854924.34</v>
      </c>
    </row>
    <row r="153" spans="1:7" x14ac:dyDescent="0.25">
      <c r="A153" s="2">
        <v>43019</v>
      </c>
      <c r="B153" s="2">
        <v>43019</v>
      </c>
      <c r="C153" t="str">
        <f>"2017101000170892|103"</f>
        <v>2017101000170892|103</v>
      </c>
      <c r="D153" t="s">
        <v>749</v>
      </c>
      <c r="F153" s="1">
        <v>7518</v>
      </c>
      <c r="G153" s="1">
        <v>1862442.34</v>
      </c>
    </row>
    <row r="154" spans="1:7" x14ac:dyDescent="0.25">
      <c r="A154" s="2">
        <v>43019</v>
      </c>
      <c r="B154" s="2">
        <v>43019</v>
      </c>
      <c r="C154" t="str">
        <f>"FT17284HWC1J|103"</f>
        <v>FT17284HWC1J|103</v>
      </c>
      <c r="D154" t="s">
        <v>750</v>
      </c>
      <c r="F154" s="1">
        <v>26830</v>
      </c>
      <c r="G154" s="1">
        <v>1889272.34</v>
      </c>
    </row>
    <row r="155" spans="1:7" x14ac:dyDescent="0.25">
      <c r="A155" s="2">
        <v>43019</v>
      </c>
      <c r="B155" s="2">
        <v>43019</v>
      </c>
      <c r="C155" t="str">
        <f>"00000000"</f>
        <v>00000000</v>
      </c>
      <c r="D155" t="s">
        <v>751</v>
      </c>
      <c r="F155" s="1">
        <v>1000</v>
      </c>
      <c r="G155" s="1">
        <v>1890272.34</v>
      </c>
    </row>
    <row r="156" spans="1:7" x14ac:dyDescent="0.25">
      <c r="A156" s="2">
        <v>43019</v>
      </c>
      <c r="B156" s="2">
        <v>43019</v>
      </c>
      <c r="C156" t="str">
        <f>"00000000"</f>
        <v>00000000</v>
      </c>
      <c r="D156" t="s">
        <v>752</v>
      </c>
      <c r="F156" s="1">
        <v>2475</v>
      </c>
      <c r="G156" s="1">
        <v>1892747.34</v>
      </c>
    </row>
    <row r="157" spans="1:7" x14ac:dyDescent="0.25">
      <c r="A157" s="2">
        <v>43019</v>
      </c>
      <c r="B157" s="2">
        <v>43019</v>
      </c>
      <c r="C157" t="str">
        <f>"00000000"</f>
        <v>00000000</v>
      </c>
      <c r="D157" t="s">
        <v>753</v>
      </c>
      <c r="F157" s="1">
        <v>1730</v>
      </c>
      <c r="G157" s="1">
        <v>1894477.34</v>
      </c>
    </row>
    <row r="158" spans="1:7" x14ac:dyDescent="0.25">
      <c r="A158" s="2">
        <v>43019</v>
      </c>
      <c r="B158" s="2">
        <v>43019</v>
      </c>
      <c r="C158" t="str">
        <f t="shared" ref="C158:C163" si="1">"991110TBMA02"</f>
        <v>991110TBMA02</v>
      </c>
      <c r="D158" t="s">
        <v>754</v>
      </c>
      <c r="E158">
        <v>1</v>
      </c>
      <c r="G158" s="1">
        <v>1894476.34</v>
      </c>
    </row>
    <row r="159" spans="1:7" x14ac:dyDescent="0.25">
      <c r="A159" s="2">
        <v>43019</v>
      </c>
      <c r="B159" s="2">
        <v>43019</v>
      </c>
      <c r="C159" t="str">
        <f t="shared" si="1"/>
        <v>991110TBMA02</v>
      </c>
      <c r="D159" t="s">
        <v>755</v>
      </c>
      <c r="F159">
        <v>546</v>
      </c>
      <c r="G159" s="1">
        <v>1895022.34</v>
      </c>
    </row>
    <row r="160" spans="1:7" x14ac:dyDescent="0.25">
      <c r="A160" s="2">
        <v>43019</v>
      </c>
      <c r="B160" s="2">
        <v>43019</v>
      </c>
      <c r="C160" t="str">
        <f t="shared" si="1"/>
        <v>991110TBMA02</v>
      </c>
      <c r="D160" t="s">
        <v>755</v>
      </c>
      <c r="E160">
        <v>1</v>
      </c>
      <c r="G160" s="1">
        <v>1895021.34</v>
      </c>
    </row>
    <row r="161" spans="1:7" x14ac:dyDescent="0.25">
      <c r="A161" s="2">
        <v>43019</v>
      </c>
      <c r="B161" s="2">
        <v>43019</v>
      </c>
      <c r="C161" t="str">
        <f t="shared" si="1"/>
        <v>991110TBMA02</v>
      </c>
      <c r="D161" t="s">
        <v>754</v>
      </c>
      <c r="F161" s="1">
        <v>9275</v>
      </c>
      <c r="G161" s="1">
        <v>1904296.34</v>
      </c>
    </row>
    <row r="162" spans="1:7" x14ac:dyDescent="0.25">
      <c r="A162" s="2">
        <v>43019</v>
      </c>
      <c r="B162" s="2">
        <v>43019</v>
      </c>
      <c r="C162" t="str">
        <f t="shared" si="1"/>
        <v>991110TBMA02</v>
      </c>
      <c r="D162" t="s">
        <v>754</v>
      </c>
      <c r="E162">
        <v>10</v>
      </c>
      <c r="G162" s="1">
        <v>1904286.34</v>
      </c>
    </row>
    <row r="163" spans="1:7" x14ac:dyDescent="0.25">
      <c r="A163" s="2">
        <v>43019</v>
      </c>
      <c r="B163" s="2">
        <v>43019</v>
      </c>
      <c r="C163" t="str">
        <f t="shared" si="1"/>
        <v>991110TBMA02</v>
      </c>
      <c r="D163" t="s">
        <v>755</v>
      </c>
      <c r="E163">
        <v>10</v>
      </c>
      <c r="G163" s="1">
        <v>1904276.34</v>
      </c>
    </row>
    <row r="164" spans="1:7" x14ac:dyDescent="0.25">
      <c r="A164" s="2">
        <v>43019</v>
      </c>
      <c r="B164" s="2">
        <v>43019</v>
      </c>
      <c r="C164" t="str">
        <f>"0001209911101717000568973"</f>
        <v>0001209911101717000568973</v>
      </c>
      <c r="D164" t="s">
        <v>756</v>
      </c>
      <c r="E164" s="1">
        <v>12309.99</v>
      </c>
      <c r="G164" s="1">
        <v>1891966.35</v>
      </c>
    </row>
    <row r="165" spans="1:7" x14ac:dyDescent="0.25">
      <c r="A165" s="2">
        <v>43019</v>
      </c>
      <c r="B165" s="2">
        <v>43019</v>
      </c>
      <c r="C165" t="str">
        <f>"0001209911101717000568973"</f>
        <v>0001209911101717000568973</v>
      </c>
      <c r="D165" t="s">
        <v>248</v>
      </c>
      <c r="E165">
        <v>14.53</v>
      </c>
      <c r="G165" s="1">
        <v>1891951.82</v>
      </c>
    </row>
    <row r="166" spans="1:7" x14ac:dyDescent="0.25">
      <c r="A166" s="2">
        <v>43019</v>
      </c>
      <c r="B166" s="2">
        <v>43019</v>
      </c>
      <c r="C166" t="str">
        <f>"0001209911101717000568973"</f>
        <v>0001209911101717000568973</v>
      </c>
      <c r="D166" t="s">
        <v>249</v>
      </c>
      <c r="E166">
        <v>1.45</v>
      </c>
      <c r="G166" s="1">
        <v>1891950.37</v>
      </c>
    </row>
    <row r="167" spans="1:7" x14ac:dyDescent="0.25">
      <c r="A167" s="2">
        <v>43020</v>
      </c>
      <c r="B167" s="2">
        <v>43020</v>
      </c>
      <c r="C167" t="str">
        <f>"0001200212101709290049982"</f>
        <v>0001200212101709290049982</v>
      </c>
      <c r="D167" t="s">
        <v>757</v>
      </c>
      <c r="E167" s="1">
        <v>11201</v>
      </c>
      <c r="G167" s="1">
        <v>1880749.37</v>
      </c>
    </row>
    <row r="168" spans="1:7" x14ac:dyDescent="0.25">
      <c r="A168" s="2">
        <v>43020</v>
      </c>
      <c r="B168" s="2">
        <v>43020</v>
      </c>
      <c r="C168" t="str">
        <f>"0001200212101710160050034"</f>
        <v>0001200212101710160050034</v>
      </c>
      <c r="D168" t="s">
        <v>758</v>
      </c>
      <c r="E168" s="1">
        <v>7271</v>
      </c>
      <c r="G168" s="1">
        <v>1873478.37</v>
      </c>
    </row>
    <row r="169" spans="1:7" x14ac:dyDescent="0.25">
      <c r="A169" s="2">
        <v>43020</v>
      </c>
      <c r="B169" s="2">
        <v>43020</v>
      </c>
      <c r="C169" t="str">
        <f>"991210JEMM00"</f>
        <v>991210JEMM00</v>
      </c>
      <c r="D169" t="s">
        <v>759</v>
      </c>
      <c r="F169" s="1">
        <v>6836</v>
      </c>
      <c r="G169" s="1">
        <v>1880314.37</v>
      </c>
    </row>
    <row r="170" spans="1:7" x14ac:dyDescent="0.25">
      <c r="A170" s="2">
        <v>43020</v>
      </c>
      <c r="B170" s="2">
        <v>43020</v>
      </c>
      <c r="C170" t="str">
        <f>"991210JEMM00"</f>
        <v>991210JEMM00</v>
      </c>
      <c r="D170" t="s">
        <v>759</v>
      </c>
      <c r="F170">
        <v>14.5</v>
      </c>
      <c r="G170" s="1">
        <v>1880328.87</v>
      </c>
    </row>
    <row r="171" spans="1:7" x14ac:dyDescent="0.25">
      <c r="A171" s="2">
        <v>43020</v>
      </c>
      <c r="B171" s="2">
        <v>43020</v>
      </c>
      <c r="C171" t="str">
        <f>"991210TBMA00"</f>
        <v>991210TBMA00</v>
      </c>
      <c r="D171" t="s">
        <v>760</v>
      </c>
      <c r="E171">
        <v>1</v>
      </c>
      <c r="G171" s="1">
        <v>1880327.87</v>
      </c>
    </row>
    <row r="172" spans="1:7" x14ac:dyDescent="0.25">
      <c r="A172" s="2">
        <v>43020</v>
      </c>
      <c r="B172" s="2">
        <v>43020</v>
      </c>
      <c r="C172" t="str">
        <f>"C591345OCP101117|103"</f>
        <v>C591345OCP101117|103</v>
      </c>
      <c r="D172" t="s">
        <v>761</v>
      </c>
      <c r="F172" s="1">
        <v>3569</v>
      </c>
      <c r="G172" s="1">
        <v>1883896.87</v>
      </c>
    </row>
    <row r="173" spans="1:7" x14ac:dyDescent="0.25">
      <c r="A173" s="2">
        <v>43020</v>
      </c>
      <c r="B173" s="2">
        <v>43020</v>
      </c>
      <c r="C173" t="str">
        <f>"C571469OCP101117|103"</f>
        <v>C571469OCP101117|103</v>
      </c>
      <c r="D173" t="s">
        <v>762</v>
      </c>
      <c r="F173" s="1">
        <v>549950</v>
      </c>
      <c r="G173" s="1">
        <v>2433846.87</v>
      </c>
    </row>
    <row r="174" spans="1:7" x14ac:dyDescent="0.25">
      <c r="A174" s="2">
        <v>43020</v>
      </c>
      <c r="B174" s="2">
        <v>43020</v>
      </c>
      <c r="C174" t="str">
        <f>"FT172841F4N6|103"</f>
        <v>FT172841F4N6|103</v>
      </c>
      <c r="D174" t="s">
        <v>763</v>
      </c>
      <c r="F174" s="1">
        <v>9707</v>
      </c>
      <c r="G174" s="1">
        <v>2443553.87</v>
      </c>
    </row>
    <row r="175" spans="1:7" x14ac:dyDescent="0.25">
      <c r="A175" s="2">
        <v>43020</v>
      </c>
      <c r="B175" s="2">
        <v>43020</v>
      </c>
      <c r="C175" t="str">
        <f>"3728500147|103"</f>
        <v>3728500147|103</v>
      </c>
      <c r="D175" t="s">
        <v>764</v>
      </c>
      <c r="F175" s="1">
        <v>12896</v>
      </c>
      <c r="G175" s="1">
        <v>2456449.87</v>
      </c>
    </row>
    <row r="176" spans="1:7" x14ac:dyDescent="0.25">
      <c r="A176" s="2">
        <v>43020</v>
      </c>
      <c r="B176" s="2">
        <v>43020</v>
      </c>
      <c r="C176" t="str">
        <f>"3728500090|103"</f>
        <v>3728500090|103</v>
      </c>
      <c r="D176" t="s">
        <v>765</v>
      </c>
      <c r="F176" s="1">
        <v>10480</v>
      </c>
      <c r="G176" s="1">
        <v>2466929.87</v>
      </c>
    </row>
    <row r="177" spans="1:7" x14ac:dyDescent="0.25">
      <c r="A177" s="2">
        <v>43020</v>
      </c>
      <c r="B177" s="2">
        <v>43020</v>
      </c>
      <c r="C177" t="str">
        <f>"C571469OCP101117|103"</f>
        <v>C571469OCP101117|103</v>
      </c>
      <c r="D177" t="s">
        <v>766</v>
      </c>
      <c r="E177">
        <v>10</v>
      </c>
      <c r="G177" s="1">
        <v>2466919.87</v>
      </c>
    </row>
    <row r="178" spans="1:7" x14ac:dyDescent="0.25">
      <c r="A178" s="2">
        <v>43020</v>
      </c>
      <c r="B178" s="2">
        <v>43020</v>
      </c>
      <c r="C178" t="str">
        <f>"0001209912101712290569154"</f>
        <v>0001209912101712290569154</v>
      </c>
      <c r="D178" t="s">
        <v>767</v>
      </c>
      <c r="E178" s="1">
        <v>545920.46</v>
      </c>
      <c r="G178" s="1">
        <v>1920999.41</v>
      </c>
    </row>
    <row r="179" spans="1:7" x14ac:dyDescent="0.25">
      <c r="A179" s="2">
        <v>43020</v>
      </c>
      <c r="B179" s="2">
        <v>43020</v>
      </c>
      <c r="C179" t="str">
        <f>"0001209912101712290569154"</f>
        <v>0001209912101712290569154</v>
      </c>
      <c r="D179" t="s">
        <v>307</v>
      </c>
      <c r="E179">
        <v>4.84</v>
      </c>
      <c r="G179" s="1">
        <v>1920994.57</v>
      </c>
    </row>
    <row r="180" spans="1:7" x14ac:dyDescent="0.25">
      <c r="A180" s="2">
        <v>43020</v>
      </c>
      <c r="B180" s="2">
        <v>43020</v>
      </c>
      <c r="C180" t="str">
        <f>"0001209912101712290569154"</f>
        <v>0001209912101712290569154</v>
      </c>
      <c r="D180" t="s">
        <v>249</v>
      </c>
      <c r="E180">
        <v>0.48</v>
      </c>
      <c r="G180" s="1">
        <v>1920994.09</v>
      </c>
    </row>
    <row r="181" spans="1:7" x14ac:dyDescent="0.25">
      <c r="A181" s="2">
        <v>43020</v>
      </c>
      <c r="B181" s="2">
        <v>43020</v>
      </c>
      <c r="C181" t="str">
        <f>"0001209912101712570569170"</f>
        <v>0001209912101712570569170</v>
      </c>
      <c r="D181" t="s">
        <v>768</v>
      </c>
      <c r="E181" s="1">
        <v>1012769.01</v>
      </c>
      <c r="G181" s="1">
        <v>908225.08</v>
      </c>
    </row>
    <row r="182" spans="1:7" x14ac:dyDescent="0.25">
      <c r="A182" s="2">
        <v>43020</v>
      </c>
      <c r="B182" s="2">
        <v>43020</v>
      </c>
      <c r="C182" t="str">
        <f>"0001209912101712570569170"</f>
        <v>0001209912101712570569170</v>
      </c>
      <c r="D182" t="s">
        <v>307</v>
      </c>
      <c r="E182">
        <v>4.84</v>
      </c>
      <c r="G182" s="1">
        <v>908220.24</v>
      </c>
    </row>
    <row r="183" spans="1:7" x14ac:dyDescent="0.25">
      <c r="A183" s="2">
        <v>43020</v>
      </c>
      <c r="B183" s="2">
        <v>43020</v>
      </c>
      <c r="C183" t="str">
        <f>"0001209912101712570569170"</f>
        <v>0001209912101712570569170</v>
      </c>
      <c r="D183" t="s">
        <v>249</v>
      </c>
      <c r="E183">
        <v>0.48</v>
      </c>
      <c r="G183" s="1">
        <v>908219.76</v>
      </c>
    </row>
    <row r="184" spans="1:7" x14ac:dyDescent="0.25">
      <c r="A184" s="2">
        <v>43020</v>
      </c>
      <c r="B184" s="2">
        <v>43020</v>
      </c>
      <c r="C184" t="str">
        <f>"0001209112101714000011907"</f>
        <v>0001209112101714000011907</v>
      </c>
      <c r="D184" t="s">
        <v>211</v>
      </c>
      <c r="E184" s="1">
        <v>12013</v>
      </c>
      <c r="G184" s="1">
        <v>896206.76</v>
      </c>
    </row>
    <row r="185" spans="1:7" x14ac:dyDescent="0.25">
      <c r="A185" s="2">
        <v>43020</v>
      </c>
      <c r="B185" s="2">
        <v>43020</v>
      </c>
      <c r="C185" t="str">
        <f>"FT172850PY92|103"</f>
        <v>FT172850PY92|103</v>
      </c>
      <c r="D185" t="s">
        <v>769</v>
      </c>
      <c r="F185">
        <v>50</v>
      </c>
      <c r="G185" s="1">
        <v>896256.76</v>
      </c>
    </row>
    <row r="186" spans="1:7" x14ac:dyDescent="0.25">
      <c r="A186" s="2">
        <v>43020</v>
      </c>
      <c r="B186" s="2">
        <v>43020</v>
      </c>
      <c r="C186" t="str">
        <f>"00000000"</f>
        <v>00000000</v>
      </c>
      <c r="D186" t="s">
        <v>770</v>
      </c>
      <c r="F186" s="1">
        <v>10275</v>
      </c>
      <c r="G186" s="1">
        <v>906531.76</v>
      </c>
    </row>
    <row r="187" spans="1:7" x14ac:dyDescent="0.25">
      <c r="A187" s="2">
        <v>43020</v>
      </c>
      <c r="B187" s="2">
        <v>43020</v>
      </c>
      <c r="C187" t="str">
        <f>"0001200212101715490050510"</f>
        <v>0001200212101715490050510</v>
      </c>
      <c r="D187" t="s">
        <v>110</v>
      </c>
      <c r="F187">
        <v>350</v>
      </c>
      <c r="G187" s="1">
        <v>906881.76</v>
      </c>
    </row>
    <row r="188" spans="1:7" x14ac:dyDescent="0.25">
      <c r="A188" s="2">
        <v>43020</v>
      </c>
      <c r="B188" s="2">
        <v>43020</v>
      </c>
      <c r="C188" t="str">
        <f>"4778700285FC|103"</f>
        <v>4778700285FC|103</v>
      </c>
      <c r="D188" t="s">
        <v>771</v>
      </c>
      <c r="F188">
        <v>71</v>
      </c>
      <c r="G188" s="1">
        <v>906952.76</v>
      </c>
    </row>
    <row r="189" spans="1:7" x14ac:dyDescent="0.25">
      <c r="A189" s="2">
        <v>43020</v>
      </c>
      <c r="B189" s="2">
        <v>43020</v>
      </c>
      <c r="C189" t="str">
        <f>"4778700285FC|103"</f>
        <v>4778700285FC|103</v>
      </c>
      <c r="D189" t="s">
        <v>772</v>
      </c>
      <c r="E189">
        <v>4</v>
      </c>
      <c r="G189" s="1">
        <v>906948.76</v>
      </c>
    </row>
    <row r="190" spans="1:7" x14ac:dyDescent="0.25">
      <c r="A190" s="2">
        <v>43020</v>
      </c>
      <c r="B190" s="2">
        <v>43020</v>
      </c>
      <c r="C190" t="str">
        <f>"FT17285HGLBV|103"</f>
        <v>FT17285HGLBV|103</v>
      </c>
      <c r="D190" t="s">
        <v>773</v>
      </c>
      <c r="F190" s="1">
        <v>5525</v>
      </c>
      <c r="G190" s="1">
        <v>912473.76</v>
      </c>
    </row>
    <row r="191" spans="1:7" x14ac:dyDescent="0.25">
      <c r="A191" s="2">
        <v>43021</v>
      </c>
      <c r="B191" s="2">
        <v>43021</v>
      </c>
      <c r="C191" t="str">
        <f>"SE07801710130072|103"</f>
        <v>SE07801710130072|103</v>
      </c>
      <c r="D191" t="s">
        <v>774</v>
      </c>
      <c r="F191" s="1">
        <v>3730</v>
      </c>
      <c r="G191" s="1">
        <v>916203.76</v>
      </c>
    </row>
    <row r="192" spans="1:7" x14ac:dyDescent="0.25">
      <c r="A192" s="2">
        <v>43021</v>
      </c>
      <c r="B192" s="2">
        <v>43021</v>
      </c>
      <c r="C192" t="str">
        <f>"SE07801710130726|103"</f>
        <v>SE07801710130726|103</v>
      </c>
      <c r="D192" t="s">
        <v>775</v>
      </c>
      <c r="F192" s="1">
        <v>3070</v>
      </c>
      <c r="G192" s="1">
        <v>919273.76</v>
      </c>
    </row>
    <row r="193" spans="1:7" x14ac:dyDescent="0.25">
      <c r="A193" s="2">
        <v>43021</v>
      </c>
      <c r="B193" s="2">
        <v>43021</v>
      </c>
      <c r="C193" t="str">
        <f>"991310TBMA00"</f>
        <v>991310TBMA00</v>
      </c>
      <c r="D193" t="s">
        <v>776</v>
      </c>
      <c r="E193">
        <v>0.4</v>
      </c>
      <c r="G193" s="1">
        <v>919273.36</v>
      </c>
    </row>
    <row r="194" spans="1:7" x14ac:dyDescent="0.25">
      <c r="A194" s="2">
        <v>43021</v>
      </c>
      <c r="B194" s="2">
        <v>43021</v>
      </c>
      <c r="C194" t="str">
        <f>"991310TBMA00"</f>
        <v>991310TBMA00</v>
      </c>
      <c r="D194" t="s">
        <v>777</v>
      </c>
      <c r="E194">
        <v>1</v>
      </c>
      <c r="G194" s="1">
        <v>919272.36</v>
      </c>
    </row>
    <row r="195" spans="1:7" x14ac:dyDescent="0.25">
      <c r="A195" s="2">
        <v>43021</v>
      </c>
      <c r="B195" s="2">
        <v>43021</v>
      </c>
      <c r="C195" t="str">
        <f>"SE07801710132232|103"</f>
        <v>SE07801710132232|103</v>
      </c>
      <c r="D195" t="s">
        <v>778</v>
      </c>
      <c r="F195" s="1">
        <v>10383</v>
      </c>
      <c r="G195" s="1">
        <v>929655.36</v>
      </c>
    </row>
    <row r="196" spans="1:7" x14ac:dyDescent="0.25">
      <c r="A196" s="2">
        <v>43021</v>
      </c>
      <c r="B196" s="2">
        <v>43021</v>
      </c>
      <c r="C196" t="str">
        <f>"0001200213101715340051157"</f>
        <v>0001200213101715340051157</v>
      </c>
      <c r="D196" t="s">
        <v>110</v>
      </c>
      <c r="F196">
        <v>775</v>
      </c>
      <c r="G196" s="1">
        <v>930430.36</v>
      </c>
    </row>
    <row r="197" spans="1:7" x14ac:dyDescent="0.25">
      <c r="A197" s="2">
        <v>43021</v>
      </c>
      <c r="B197" s="2">
        <v>43021</v>
      </c>
      <c r="C197" t="str">
        <f>"0001200213101715350051160"</f>
        <v>0001200213101715350051160</v>
      </c>
      <c r="D197" t="s">
        <v>110</v>
      </c>
      <c r="F197">
        <v>700</v>
      </c>
      <c r="G197" s="1">
        <v>931130.36</v>
      </c>
    </row>
    <row r="198" spans="1:7" x14ac:dyDescent="0.25">
      <c r="A198" s="2">
        <v>43021</v>
      </c>
      <c r="B198" s="2">
        <v>43021</v>
      </c>
      <c r="C198" t="str">
        <f>"00000000"</f>
        <v>00000000</v>
      </c>
      <c r="D198" t="s">
        <v>779</v>
      </c>
      <c r="F198" s="1">
        <v>6734</v>
      </c>
      <c r="G198" s="1">
        <v>937864.36</v>
      </c>
    </row>
    <row r="199" spans="1:7" x14ac:dyDescent="0.25">
      <c r="A199" s="2">
        <v>43021</v>
      </c>
      <c r="B199" s="2">
        <v>43021</v>
      </c>
      <c r="C199" t="str">
        <f>"00000000"</f>
        <v>00000000</v>
      </c>
      <c r="D199" t="s">
        <v>780</v>
      </c>
      <c r="F199" s="1">
        <v>4424</v>
      </c>
      <c r="G199" s="1">
        <v>942288.36</v>
      </c>
    </row>
    <row r="200" spans="1:7" x14ac:dyDescent="0.25">
      <c r="A200" s="2">
        <v>43021</v>
      </c>
      <c r="B200" s="2">
        <v>43021</v>
      </c>
      <c r="C200" t="str">
        <f>"991310TBMA03"</f>
        <v>991310TBMA03</v>
      </c>
      <c r="D200" t="s">
        <v>781</v>
      </c>
      <c r="F200">
        <v>662</v>
      </c>
      <c r="G200" s="1">
        <v>942950.36</v>
      </c>
    </row>
    <row r="201" spans="1:7" x14ac:dyDescent="0.25">
      <c r="A201" s="2">
        <v>43021</v>
      </c>
      <c r="B201" s="2">
        <v>43021</v>
      </c>
      <c r="C201" t="str">
        <f>"991310TBMA03"</f>
        <v>991310TBMA03</v>
      </c>
      <c r="D201" t="s">
        <v>781</v>
      </c>
      <c r="E201">
        <v>10</v>
      </c>
      <c r="G201" s="1">
        <v>942940.36</v>
      </c>
    </row>
    <row r="202" spans="1:7" x14ac:dyDescent="0.25">
      <c r="A202" s="2">
        <v>43021</v>
      </c>
      <c r="B202" s="2">
        <v>43021</v>
      </c>
      <c r="C202" t="str">
        <f>"991310TBMA03"</f>
        <v>991310TBMA03</v>
      </c>
      <c r="D202" t="s">
        <v>781</v>
      </c>
      <c r="E202">
        <v>1</v>
      </c>
      <c r="G202" s="1">
        <v>942939.36</v>
      </c>
    </row>
    <row r="203" spans="1:7" x14ac:dyDescent="0.25">
      <c r="A203" s="2">
        <v>43021</v>
      </c>
      <c r="B203" s="2">
        <v>43021</v>
      </c>
      <c r="C203" t="str">
        <f>"SE07801710133586|103"</f>
        <v>SE07801710133586|103</v>
      </c>
      <c r="D203" t="s">
        <v>782</v>
      </c>
      <c r="F203" s="1">
        <v>12360</v>
      </c>
      <c r="G203" s="1">
        <v>955299.36</v>
      </c>
    </row>
    <row r="204" spans="1:7" x14ac:dyDescent="0.25">
      <c r="A204" s="2">
        <v>43024</v>
      </c>
      <c r="B204" s="2">
        <v>43024</v>
      </c>
      <c r="C204" t="str">
        <f>"HBKG17J12O485822|103"</f>
        <v>HBKG17J12O485822|103</v>
      </c>
      <c r="D204" t="s">
        <v>783</v>
      </c>
      <c r="F204" s="1">
        <v>8774.68</v>
      </c>
      <c r="G204" s="1">
        <v>964074.04</v>
      </c>
    </row>
    <row r="205" spans="1:7" x14ac:dyDescent="0.25">
      <c r="A205" s="2">
        <v>43024</v>
      </c>
      <c r="B205" s="2">
        <v>43024</v>
      </c>
      <c r="C205" t="str">
        <f>"SE07801710161522|103"</f>
        <v>SE07801710161522|103</v>
      </c>
      <c r="D205" t="s">
        <v>784</v>
      </c>
      <c r="F205" s="1">
        <v>3400</v>
      </c>
      <c r="G205" s="1">
        <v>967474.04</v>
      </c>
    </row>
    <row r="206" spans="1:7" x14ac:dyDescent="0.25">
      <c r="A206" s="2">
        <v>43024</v>
      </c>
      <c r="B206" s="2">
        <v>43024</v>
      </c>
      <c r="C206" t="str">
        <f>"013RTGS172890002|103"</f>
        <v>013RTGS172890002|103</v>
      </c>
      <c r="D206" t="s">
        <v>785</v>
      </c>
      <c r="F206" s="1">
        <v>4877</v>
      </c>
      <c r="G206" s="1">
        <v>972351.04</v>
      </c>
    </row>
    <row r="207" spans="1:7" x14ac:dyDescent="0.25">
      <c r="A207" s="2">
        <v>43024</v>
      </c>
      <c r="B207" s="2">
        <v>43024</v>
      </c>
      <c r="C207" t="str">
        <f>"00000000"</f>
        <v>00000000</v>
      </c>
      <c r="D207" t="s">
        <v>786</v>
      </c>
      <c r="F207" s="1">
        <v>8988</v>
      </c>
      <c r="G207" s="1">
        <v>981339.04</v>
      </c>
    </row>
    <row r="208" spans="1:7" x14ac:dyDescent="0.25">
      <c r="A208" s="2">
        <v>43024</v>
      </c>
      <c r="B208" s="2">
        <v>43024</v>
      </c>
      <c r="C208" t="str">
        <f>"00000000"</f>
        <v>00000000</v>
      </c>
      <c r="D208" t="s">
        <v>787</v>
      </c>
      <c r="F208" s="1">
        <v>1173</v>
      </c>
      <c r="G208" s="1">
        <v>982512.04</v>
      </c>
    </row>
    <row r="209" spans="1:7" x14ac:dyDescent="0.25">
      <c r="A209" s="2">
        <v>43024</v>
      </c>
      <c r="B209" s="2">
        <v>43024</v>
      </c>
      <c r="C209" t="str">
        <f>"998ORTG172890033|103"</f>
        <v>998ORTG172890033|103</v>
      </c>
      <c r="D209" t="s">
        <v>788</v>
      </c>
      <c r="F209" s="1">
        <v>2051</v>
      </c>
      <c r="G209" s="1">
        <v>984563.04</v>
      </c>
    </row>
    <row r="210" spans="1:7" x14ac:dyDescent="0.25">
      <c r="A210" s="2">
        <v>43024</v>
      </c>
      <c r="B210" s="2">
        <v>43024</v>
      </c>
      <c r="C210" t="str">
        <f>"998ORTG172890017|103"</f>
        <v>998ORTG172890017|103</v>
      </c>
      <c r="D210" t="s">
        <v>789</v>
      </c>
      <c r="F210" s="1">
        <v>10336</v>
      </c>
      <c r="G210" s="1">
        <v>994899.04</v>
      </c>
    </row>
    <row r="211" spans="1:7" x14ac:dyDescent="0.25">
      <c r="A211" s="2">
        <v>43024</v>
      </c>
      <c r="B211" s="2">
        <v>43024</v>
      </c>
      <c r="C211" t="str">
        <f>"998ORTG172890016|103"</f>
        <v>998ORTG172890016|103</v>
      </c>
      <c r="D211" t="s">
        <v>790</v>
      </c>
      <c r="F211">
        <v>484</v>
      </c>
      <c r="G211" s="1">
        <v>995383.04</v>
      </c>
    </row>
    <row r="212" spans="1:7" x14ac:dyDescent="0.25">
      <c r="A212" s="2">
        <v>43024</v>
      </c>
      <c r="B212" s="2">
        <v>43024</v>
      </c>
      <c r="C212" t="str">
        <f>"998ORTG172890015|103"</f>
        <v>998ORTG172890015|103</v>
      </c>
      <c r="D212" t="s">
        <v>791</v>
      </c>
      <c r="F212" s="1">
        <v>1715</v>
      </c>
      <c r="G212" s="1">
        <v>997098.04</v>
      </c>
    </row>
    <row r="213" spans="1:7" x14ac:dyDescent="0.25">
      <c r="A213" s="2">
        <v>43025</v>
      </c>
      <c r="B213" s="2">
        <v>43025</v>
      </c>
      <c r="C213" t="str">
        <f>"G0172890583801|103"</f>
        <v>G0172890583801|103</v>
      </c>
      <c r="D213" t="s">
        <v>792</v>
      </c>
      <c r="F213">
        <v>708</v>
      </c>
      <c r="G213" s="1">
        <v>997806.04</v>
      </c>
    </row>
    <row r="214" spans="1:7" x14ac:dyDescent="0.25">
      <c r="A214" s="2">
        <v>43025</v>
      </c>
      <c r="B214" s="2">
        <v>43025</v>
      </c>
      <c r="C214" t="str">
        <f>"G0172890583801|103"</f>
        <v>G0172890583801|103</v>
      </c>
      <c r="D214" t="s">
        <v>793</v>
      </c>
      <c r="E214">
        <v>7.08</v>
      </c>
      <c r="G214" s="1">
        <v>997798.96</v>
      </c>
    </row>
    <row r="215" spans="1:7" x14ac:dyDescent="0.25">
      <c r="A215" s="2">
        <v>43025</v>
      </c>
      <c r="B215" s="2">
        <v>43025</v>
      </c>
      <c r="C215" t="str">
        <f>"IR07801710170320|103"</f>
        <v>IR07801710170320|103</v>
      </c>
      <c r="D215" t="s">
        <v>794</v>
      </c>
      <c r="F215">
        <v>576</v>
      </c>
      <c r="G215" s="1">
        <v>998374.96</v>
      </c>
    </row>
    <row r="216" spans="1:7" x14ac:dyDescent="0.25">
      <c r="A216" s="2">
        <v>43025</v>
      </c>
      <c r="B216" s="2">
        <v>43025</v>
      </c>
      <c r="C216" t="str">
        <f>"3728902376|103"</f>
        <v>3728902376|103</v>
      </c>
      <c r="D216" t="s">
        <v>795</v>
      </c>
      <c r="F216" s="1">
        <v>12218</v>
      </c>
      <c r="G216" s="1">
        <v>1010592.96</v>
      </c>
    </row>
    <row r="217" spans="1:7" x14ac:dyDescent="0.25">
      <c r="A217" s="2">
        <v>43025</v>
      </c>
      <c r="B217" s="2">
        <v>43025</v>
      </c>
      <c r="C217" t="str">
        <f>"013RTGS172900001|103"</f>
        <v>013RTGS172900001|103</v>
      </c>
      <c r="D217" t="s">
        <v>796</v>
      </c>
      <c r="F217">
        <v>514</v>
      </c>
      <c r="G217" s="1">
        <v>1011106.96</v>
      </c>
    </row>
    <row r="218" spans="1:7" x14ac:dyDescent="0.25">
      <c r="A218" s="2">
        <v>43025</v>
      </c>
      <c r="B218" s="2">
        <v>43025</v>
      </c>
      <c r="C218" t="str">
        <f>"SE07801710171482|103"</f>
        <v>SE07801710171482|103</v>
      </c>
      <c r="D218" t="s">
        <v>797</v>
      </c>
      <c r="F218" s="1">
        <v>62177</v>
      </c>
      <c r="G218" s="1">
        <v>1073283.96</v>
      </c>
    </row>
    <row r="219" spans="1:7" x14ac:dyDescent="0.25">
      <c r="A219" s="2">
        <v>43025</v>
      </c>
      <c r="B219" s="2">
        <v>43025</v>
      </c>
      <c r="C219" t="str">
        <f>"0001209917101715220570721"</f>
        <v>0001209917101715220570721</v>
      </c>
      <c r="D219" t="s">
        <v>798</v>
      </c>
      <c r="E219" s="1">
        <v>19994.72</v>
      </c>
      <c r="G219" s="1">
        <v>1053289.24</v>
      </c>
    </row>
    <row r="220" spans="1:7" x14ac:dyDescent="0.25">
      <c r="A220" s="2">
        <v>43025</v>
      </c>
      <c r="B220" s="2">
        <v>43025</v>
      </c>
      <c r="C220" t="str">
        <f>"0001209917101715220570721"</f>
        <v>0001209917101715220570721</v>
      </c>
      <c r="D220" t="s">
        <v>248</v>
      </c>
      <c r="E220">
        <v>14.51</v>
      </c>
      <c r="G220" s="1">
        <v>1053274.73</v>
      </c>
    </row>
    <row r="221" spans="1:7" x14ac:dyDescent="0.25">
      <c r="A221" s="2">
        <v>43025</v>
      </c>
      <c r="B221" s="2">
        <v>43025</v>
      </c>
      <c r="C221" t="str">
        <f>"0001209917101715220570721"</f>
        <v>0001209917101715220570721</v>
      </c>
      <c r="D221" t="s">
        <v>249</v>
      </c>
      <c r="E221">
        <v>1.45</v>
      </c>
      <c r="G221" s="1">
        <v>1053273.28</v>
      </c>
    </row>
    <row r="222" spans="1:7" x14ac:dyDescent="0.25">
      <c r="A222" s="2">
        <v>43025</v>
      </c>
      <c r="B222" s="2">
        <v>43025</v>
      </c>
      <c r="C222" t="str">
        <f>"3461300290FC|103"</f>
        <v>3461300290FC|103</v>
      </c>
      <c r="D222" t="s">
        <v>799</v>
      </c>
      <c r="E222">
        <v>10</v>
      </c>
      <c r="G222" s="1">
        <v>1053263.28</v>
      </c>
    </row>
    <row r="223" spans="1:7" x14ac:dyDescent="0.25">
      <c r="A223" s="2">
        <v>43025</v>
      </c>
      <c r="B223" s="2">
        <v>43025</v>
      </c>
      <c r="C223" t="str">
        <f>"3729001543|103"</f>
        <v>3729001543|103</v>
      </c>
      <c r="D223" t="s">
        <v>800</v>
      </c>
      <c r="F223" s="1">
        <v>2160</v>
      </c>
      <c r="G223" s="1">
        <v>1055423.28</v>
      </c>
    </row>
    <row r="224" spans="1:7" x14ac:dyDescent="0.25">
      <c r="A224" s="2">
        <v>43025</v>
      </c>
      <c r="B224" s="2">
        <v>43025</v>
      </c>
      <c r="C224" t="str">
        <f>"FT17290RB74W|103"</f>
        <v>FT17290RB74W|103</v>
      </c>
      <c r="D224" t="s">
        <v>801</v>
      </c>
      <c r="F224">
        <v>930</v>
      </c>
      <c r="G224" s="1">
        <v>1056353.28</v>
      </c>
    </row>
    <row r="225" spans="1:7" x14ac:dyDescent="0.25">
      <c r="A225" s="2">
        <v>43025</v>
      </c>
      <c r="B225" s="2">
        <v>43025</v>
      </c>
      <c r="C225" t="str">
        <f>"3461300290FC|103"</f>
        <v>3461300290FC|103</v>
      </c>
      <c r="D225" t="s">
        <v>802</v>
      </c>
      <c r="F225" s="1">
        <v>5019</v>
      </c>
      <c r="G225" s="1">
        <v>1061372.28</v>
      </c>
    </row>
    <row r="226" spans="1:7" x14ac:dyDescent="0.25">
      <c r="A226" s="2">
        <v>43026</v>
      </c>
      <c r="B226" s="2">
        <v>43026</v>
      </c>
      <c r="C226" t="str">
        <f>"3729100071|103"</f>
        <v>3729100071|103</v>
      </c>
      <c r="D226" t="s">
        <v>803</v>
      </c>
      <c r="F226" s="1">
        <v>90000</v>
      </c>
      <c r="G226" s="1">
        <v>1151372.28</v>
      </c>
    </row>
    <row r="227" spans="1:7" x14ac:dyDescent="0.25">
      <c r="A227" s="2">
        <v>43026</v>
      </c>
      <c r="B227" s="2">
        <v>43026</v>
      </c>
      <c r="C227" t="str">
        <f>"3729100104|103"</f>
        <v>3729100104|103</v>
      </c>
      <c r="D227" t="s">
        <v>804</v>
      </c>
      <c r="F227" s="1">
        <v>57800</v>
      </c>
      <c r="G227" s="1">
        <v>1209172.28</v>
      </c>
    </row>
    <row r="228" spans="1:7" x14ac:dyDescent="0.25">
      <c r="A228" s="2">
        <v>43026</v>
      </c>
      <c r="B228" s="2">
        <v>43026</v>
      </c>
      <c r="C228" t="str">
        <f>"3729100670|103"</f>
        <v>3729100670|103</v>
      </c>
      <c r="D228" t="s">
        <v>805</v>
      </c>
      <c r="F228">
        <v>428</v>
      </c>
      <c r="G228" s="1">
        <v>1209600.28</v>
      </c>
    </row>
    <row r="229" spans="1:7" x14ac:dyDescent="0.25">
      <c r="A229" s="2">
        <v>43026</v>
      </c>
      <c r="B229" s="2">
        <v>43026</v>
      </c>
      <c r="C229" t="str">
        <f>"3729100671|103"</f>
        <v>3729100671|103</v>
      </c>
      <c r="D229" t="s">
        <v>806</v>
      </c>
      <c r="F229" s="1">
        <v>2066</v>
      </c>
      <c r="G229" s="1">
        <v>1211666.28</v>
      </c>
    </row>
    <row r="230" spans="1:7" x14ac:dyDescent="0.25">
      <c r="A230" s="2">
        <v>43026</v>
      </c>
      <c r="B230" s="2">
        <v>43026</v>
      </c>
      <c r="C230" t="str">
        <f>"3729100672|103"</f>
        <v>3729100672|103</v>
      </c>
      <c r="D230" t="s">
        <v>807</v>
      </c>
      <c r="F230" s="1">
        <v>5770</v>
      </c>
      <c r="G230" s="1">
        <v>1217436.28</v>
      </c>
    </row>
    <row r="231" spans="1:7" x14ac:dyDescent="0.25">
      <c r="A231" s="2">
        <v>43026</v>
      </c>
      <c r="B231" s="2">
        <v>43026</v>
      </c>
      <c r="C231" t="str">
        <f>"3729100220|103"</f>
        <v>3729100220|103</v>
      </c>
      <c r="D231" t="s">
        <v>808</v>
      </c>
      <c r="F231" s="1">
        <v>90000</v>
      </c>
      <c r="G231" s="1">
        <v>1307436.28</v>
      </c>
    </row>
    <row r="232" spans="1:7" x14ac:dyDescent="0.25">
      <c r="A232" s="2">
        <v>43026</v>
      </c>
      <c r="B232" s="2">
        <v>43026</v>
      </c>
      <c r="C232" t="str">
        <f>"F51017595790000|103"</f>
        <v>F51017595790000|103</v>
      </c>
      <c r="D232" t="s">
        <v>809</v>
      </c>
      <c r="F232" s="1">
        <v>4201</v>
      </c>
      <c r="G232" s="1">
        <v>1311637.28</v>
      </c>
    </row>
    <row r="233" spans="1:7" x14ac:dyDescent="0.25">
      <c r="A233" s="2">
        <v>43026</v>
      </c>
      <c r="B233" s="2">
        <v>43026</v>
      </c>
      <c r="C233" t="str">
        <f>"F51017595790000|103"</f>
        <v>F51017595790000|103</v>
      </c>
      <c r="D233" t="s">
        <v>810</v>
      </c>
      <c r="E233">
        <v>10</v>
      </c>
      <c r="G233" s="1">
        <v>1311627.28</v>
      </c>
    </row>
    <row r="234" spans="1:7" x14ac:dyDescent="0.25">
      <c r="A234" s="2">
        <v>43026</v>
      </c>
      <c r="B234" s="2">
        <v>43026</v>
      </c>
      <c r="C234" t="str">
        <f>"991810TBMA01"</f>
        <v>991810TBMA01</v>
      </c>
      <c r="D234" t="s">
        <v>811</v>
      </c>
      <c r="E234">
        <v>0.7</v>
      </c>
      <c r="G234" s="1">
        <v>1311626.58</v>
      </c>
    </row>
    <row r="235" spans="1:7" x14ac:dyDescent="0.25">
      <c r="A235" s="2">
        <v>43026</v>
      </c>
      <c r="B235" s="2">
        <v>43026</v>
      </c>
      <c r="C235" t="str">
        <f>"991810TBMA01"</f>
        <v>991810TBMA01</v>
      </c>
      <c r="D235" t="s">
        <v>812</v>
      </c>
      <c r="E235">
        <v>1</v>
      </c>
      <c r="G235" s="1">
        <v>1311625.58</v>
      </c>
    </row>
    <row r="236" spans="1:7" x14ac:dyDescent="0.25">
      <c r="A236" s="2">
        <v>43026</v>
      </c>
      <c r="B236" s="2">
        <v>43026</v>
      </c>
      <c r="C236" t="str">
        <f>"00000000"</f>
        <v>00000000</v>
      </c>
      <c r="D236" t="s">
        <v>813</v>
      </c>
      <c r="F236" s="1">
        <v>1853</v>
      </c>
      <c r="G236" s="1">
        <v>1313478.58</v>
      </c>
    </row>
    <row r="237" spans="1:7" x14ac:dyDescent="0.25">
      <c r="A237" s="2">
        <v>43026</v>
      </c>
      <c r="B237" s="2">
        <v>43026</v>
      </c>
      <c r="C237" t="str">
        <f>"00000000"</f>
        <v>00000000</v>
      </c>
      <c r="D237" t="s">
        <v>814</v>
      </c>
      <c r="F237">
        <v>167</v>
      </c>
      <c r="G237" s="1">
        <v>1313645.58</v>
      </c>
    </row>
    <row r="238" spans="1:7" x14ac:dyDescent="0.25">
      <c r="A238" s="2">
        <v>43026</v>
      </c>
      <c r="B238" s="2">
        <v>43026</v>
      </c>
      <c r="C238" t="str">
        <f>"00000000"</f>
        <v>00000000</v>
      </c>
      <c r="D238" t="s">
        <v>815</v>
      </c>
      <c r="F238">
        <v>413</v>
      </c>
      <c r="G238" s="1">
        <v>1314058.58</v>
      </c>
    </row>
    <row r="239" spans="1:7" x14ac:dyDescent="0.25">
      <c r="A239" s="2">
        <v>43026</v>
      </c>
      <c r="B239" s="2">
        <v>43026</v>
      </c>
      <c r="C239" t="str">
        <f>"00000000"</f>
        <v>00000000</v>
      </c>
      <c r="D239" t="s">
        <v>816</v>
      </c>
      <c r="F239">
        <v>289</v>
      </c>
      <c r="G239" s="1">
        <v>1314347.58</v>
      </c>
    </row>
    <row r="240" spans="1:7" x14ac:dyDescent="0.25">
      <c r="A240" s="2">
        <v>43026</v>
      </c>
      <c r="B240" s="2">
        <v>43026</v>
      </c>
      <c r="C240" t="str">
        <f>"00000000"</f>
        <v>00000000</v>
      </c>
      <c r="D240" t="s">
        <v>817</v>
      </c>
      <c r="F240">
        <v>706</v>
      </c>
      <c r="G240" s="1">
        <v>1315053.58</v>
      </c>
    </row>
    <row r="241" spans="1:7" x14ac:dyDescent="0.25">
      <c r="A241" s="2">
        <v>43026</v>
      </c>
      <c r="B241" s="2">
        <v>43026</v>
      </c>
      <c r="C241" t="str">
        <f>"0001209918101711010570880"</f>
        <v>0001209918101711010570880</v>
      </c>
      <c r="D241" t="s">
        <v>818</v>
      </c>
      <c r="E241" s="1">
        <v>1299.99</v>
      </c>
      <c r="G241" s="1">
        <v>1313753.5900000001</v>
      </c>
    </row>
    <row r="242" spans="1:7" x14ac:dyDescent="0.25">
      <c r="A242" s="2">
        <v>43026</v>
      </c>
      <c r="B242" s="2">
        <v>43026</v>
      </c>
      <c r="C242" t="str">
        <f>"0001209918101711010570880"</f>
        <v>0001209918101711010570880</v>
      </c>
      <c r="D242" t="s">
        <v>248</v>
      </c>
      <c r="E242">
        <v>14.51</v>
      </c>
      <c r="G242" s="1">
        <v>1313739.08</v>
      </c>
    </row>
    <row r="243" spans="1:7" x14ac:dyDescent="0.25">
      <c r="A243" s="2">
        <v>43026</v>
      </c>
      <c r="B243" s="2">
        <v>43026</v>
      </c>
      <c r="C243" t="str">
        <f>"0001209918101711010570880"</f>
        <v>0001209918101711010570880</v>
      </c>
      <c r="D243" t="s">
        <v>249</v>
      </c>
      <c r="E243">
        <v>1.45</v>
      </c>
      <c r="G243" s="1">
        <v>1313737.6299999999</v>
      </c>
    </row>
    <row r="244" spans="1:7" x14ac:dyDescent="0.25">
      <c r="A244" s="2">
        <v>43026</v>
      </c>
      <c r="B244" s="2">
        <v>43026</v>
      </c>
      <c r="C244" t="str">
        <f>"0001200218101711380053481"</f>
        <v>0001200218101711380053481</v>
      </c>
      <c r="D244" t="s">
        <v>211</v>
      </c>
      <c r="E244" s="1">
        <v>2953</v>
      </c>
      <c r="G244" s="1">
        <v>1310784.6299999999</v>
      </c>
    </row>
    <row r="245" spans="1:7" x14ac:dyDescent="0.25">
      <c r="A245" s="2">
        <v>43026</v>
      </c>
      <c r="B245" s="2">
        <v>43026</v>
      </c>
      <c r="C245" t="str">
        <f>"3729100783|103"</f>
        <v>3729100783|103</v>
      </c>
      <c r="D245" t="s">
        <v>819</v>
      </c>
      <c r="F245" s="1">
        <v>5614</v>
      </c>
      <c r="G245" s="1">
        <v>1316398.6299999999</v>
      </c>
    </row>
    <row r="246" spans="1:7" x14ac:dyDescent="0.25">
      <c r="A246" s="2">
        <v>43026</v>
      </c>
      <c r="B246" s="2">
        <v>43026</v>
      </c>
      <c r="C246" t="str">
        <f>"0001200218101715020053754"</f>
        <v>0001200218101715020053754</v>
      </c>
      <c r="D246" t="s">
        <v>820</v>
      </c>
      <c r="E246" s="1">
        <v>5238</v>
      </c>
      <c r="G246" s="1">
        <v>1311160.6299999999</v>
      </c>
    </row>
    <row r="247" spans="1:7" x14ac:dyDescent="0.25">
      <c r="A247" s="2">
        <v>43026</v>
      </c>
      <c r="B247" s="2">
        <v>43026</v>
      </c>
      <c r="C247" t="str">
        <f>"0001209118101715160012921"</f>
        <v>0001209118101715160012921</v>
      </c>
      <c r="D247" t="s">
        <v>211</v>
      </c>
      <c r="E247" s="1">
        <v>5882</v>
      </c>
      <c r="G247" s="1">
        <v>1305278.6299999999</v>
      </c>
    </row>
    <row r="248" spans="1:7" x14ac:dyDescent="0.25">
      <c r="A248" s="2">
        <v>43026</v>
      </c>
      <c r="B248" s="2">
        <v>43026</v>
      </c>
      <c r="C248" t="str">
        <f>"0001209918101715100571092"</f>
        <v>0001209918101715100571092</v>
      </c>
      <c r="D248" t="s">
        <v>821</v>
      </c>
      <c r="E248" s="1">
        <v>2149.9899999999998</v>
      </c>
      <c r="G248" s="1">
        <v>1303128.6399999999</v>
      </c>
    </row>
    <row r="249" spans="1:7" x14ac:dyDescent="0.25">
      <c r="A249" s="2">
        <v>43026</v>
      </c>
      <c r="B249" s="2">
        <v>43026</v>
      </c>
      <c r="C249" t="str">
        <f>"0001209918101715100571092"</f>
        <v>0001209918101715100571092</v>
      </c>
      <c r="D249" t="s">
        <v>248</v>
      </c>
      <c r="E249">
        <v>14.51</v>
      </c>
      <c r="G249" s="1">
        <v>1303114.1299999999</v>
      </c>
    </row>
    <row r="250" spans="1:7" x14ac:dyDescent="0.25">
      <c r="A250" s="2">
        <v>43026</v>
      </c>
      <c r="B250" s="2">
        <v>43026</v>
      </c>
      <c r="C250" t="str">
        <f>"0001209918101715100571092"</f>
        <v>0001209918101715100571092</v>
      </c>
      <c r="D250" t="s">
        <v>249</v>
      </c>
      <c r="E250">
        <v>1.45</v>
      </c>
      <c r="G250" s="1">
        <v>1303112.68</v>
      </c>
    </row>
    <row r="251" spans="1:7" x14ac:dyDescent="0.25">
      <c r="A251" s="2">
        <v>43026</v>
      </c>
      <c r="B251" s="2">
        <v>43026</v>
      </c>
      <c r="C251" t="str">
        <f>"3729101949|103"</f>
        <v>3729101949|103</v>
      </c>
      <c r="D251" t="s">
        <v>822</v>
      </c>
      <c r="F251" s="1">
        <v>27577.54</v>
      </c>
      <c r="G251" s="1">
        <v>1330690.22</v>
      </c>
    </row>
    <row r="252" spans="1:7" x14ac:dyDescent="0.25">
      <c r="A252" s="2">
        <v>43026</v>
      </c>
      <c r="B252" s="2">
        <v>43026</v>
      </c>
      <c r="C252" t="str">
        <f>"013RTGS172910007|103"</f>
        <v>013RTGS172910007|103</v>
      </c>
      <c r="D252" t="s">
        <v>823</v>
      </c>
      <c r="F252">
        <v>704</v>
      </c>
      <c r="G252" s="1">
        <v>1331394.22</v>
      </c>
    </row>
    <row r="253" spans="1:7" x14ac:dyDescent="0.25">
      <c r="A253" s="2">
        <v>43026</v>
      </c>
      <c r="B253" s="2">
        <v>43026</v>
      </c>
      <c r="C253" t="str">
        <f>"991810TBMA03"</f>
        <v>991810TBMA03</v>
      </c>
      <c r="D253" t="s">
        <v>824</v>
      </c>
      <c r="F253" s="1">
        <v>3570</v>
      </c>
      <c r="G253" s="1">
        <v>1334964.22</v>
      </c>
    </row>
    <row r="254" spans="1:7" x14ac:dyDescent="0.25">
      <c r="A254" s="2">
        <v>43026</v>
      </c>
      <c r="B254" s="2">
        <v>43026</v>
      </c>
      <c r="C254" t="str">
        <f>"991810TBMA03"</f>
        <v>991810TBMA03</v>
      </c>
      <c r="D254" t="s">
        <v>824</v>
      </c>
      <c r="E254">
        <v>1</v>
      </c>
      <c r="G254" s="1">
        <v>1334963.22</v>
      </c>
    </row>
    <row r="255" spans="1:7" x14ac:dyDescent="0.25">
      <c r="A255" s="2">
        <v>43026</v>
      </c>
      <c r="B255" s="2">
        <v>43026</v>
      </c>
      <c r="C255" t="str">
        <f>"991810TBMA03"</f>
        <v>991810TBMA03</v>
      </c>
      <c r="D255" t="s">
        <v>824</v>
      </c>
      <c r="E255">
        <v>10</v>
      </c>
      <c r="G255" s="1">
        <v>1334953.22</v>
      </c>
    </row>
    <row r="256" spans="1:7" x14ac:dyDescent="0.25">
      <c r="A256" s="2">
        <v>43026</v>
      </c>
      <c r="B256" s="2">
        <v>43026</v>
      </c>
      <c r="C256" t="str">
        <f>"991810MOAB10"</f>
        <v>991810MOAB10</v>
      </c>
      <c r="D256" t="s">
        <v>825</v>
      </c>
      <c r="F256" s="1">
        <v>2589</v>
      </c>
      <c r="G256" s="1">
        <v>1337542.22</v>
      </c>
    </row>
    <row r="257" spans="1:7" x14ac:dyDescent="0.25">
      <c r="A257" s="2">
        <v>43027</v>
      </c>
      <c r="B257" s="2">
        <v>43027</v>
      </c>
      <c r="C257" t="str">
        <f>"991910TBMA00"</f>
        <v>991910TBMA00</v>
      </c>
      <c r="D257" t="s">
        <v>826</v>
      </c>
      <c r="E257">
        <v>1</v>
      </c>
      <c r="G257" s="1">
        <v>1337541.22</v>
      </c>
    </row>
    <row r="258" spans="1:7" x14ac:dyDescent="0.25">
      <c r="A258" s="2">
        <v>43027</v>
      </c>
      <c r="B258" s="2">
        <v>43027</v>
      </c>
      <c r="C258" t="str">
        <f>"2017101800083335|103"</f>
        <v>2017101800083335|103</v>
      </c>
      <c r="D258" t="s">
        <v>827</v>
      </c>
      <c r="E258">
        <v>5.51</v>
      </c>
      <c r="G258" s="1">
        <v>1337535.71</v>
      </c>
    </row>
    <row r="259" spans="1:7" x14ac:dyDescent="0.25">
      <c r="A259" s="2">
        <v>43027</v>
      </c>
      <c r="B259" s="2">
        <v>43027</v>
      </c>
      <c r="C259" t="str">
        <f>"2017101800083335|103"</f>
        <v>2017101800083335|103</v>
      </c>
      <c r="D259" t="s">
        <v>828</v>
      </c>
      <c r="F259">
        <v>551</v>
      </c>
      <c r="G259" s="1">
        <v>1338086.71</v>
      </c>
    </row>
    <row r="260" spans="1:7" x14ac:dyDescent="0.25">
      <c r="A260" s="2">
        <v>43027</v>
      </c>
      <c r="B260" s="2">
        <v>43027</v>
      </c>
      <c r="C260" t="str">
        <f>"SE07801710190976|103"</f>
        <v>SE07801710190976|103</v>
      </c>
      <c r="D260" t="s">
        <v>829</v>
      </c>
      <c r="F260" s="1">
        <v>2326</v>
      </c>
      <c r="G260" s="1">
        <v>1340412.71</v>
      </c>
    </row>
    <row r="261" spans="1:7" x14ac:dyDescent="0.25">
      <c r="A261" s="2">
        <v>43027</v>
      </c>
      <c r="B261" s="2">
        <v>43027</v>
      </c>
      <c r="C261" t="str">
        <f>"SE07801710190982|103"</f>
        <v>SE07801710190982|103</v>
      </c>
      <c r="D261" t="s">
        <v>830</v>
      </c>
      <c r="F261" s="1">
        <v>5251</v>
      </c>
      <c r="G261" s="1">
        <v>1345663.71</v>
      </c>
    </row>
    <row r="262" spans="1:7" x14ac:dyDescent="0.25">
      <c r="A262" s="2">
        <v>43027</v>
      </c>
      <c r="B262" s="2">
        <v>43027</v>
      </c>
      <c r="C262" t="str">
        <f>"SE07801710190924|103"</f>
        <v>SE07801710190924|103</v>
      </c>
      <c r="D262" t="s">
        <v>831</v>
      </c>
      <c r="F262">
        <v>489</v>
      </c>
      <c r="G262" s="1">
        <v>1346152.71</v>
      </c>
    </row>
    <row r="263" spans="1:7" x14ac:dyDescent="0.25">
      <c r="A263" s="2">
        <v>43027</v>
      </c>
      <c r="B263" s="2">
        <v>43027</v>
      </c>
      <c r="C263" t="str">
        <f>"3729203341|103"</f>
        <v>3729203341|103</v>
      </c>
      <c r="D263" t="s">
        <v>832</v>
      </c>
      <c r="F263" s="1">
        <v>14270</v>
      </c>
      <c r="G263" s="1">
        <v>1360422.71</v>
      </c>
    </row>
    <row r="264" spans="1:7" x14ac:dyDescent="0.25">
      <c r="A264" s="2">
        <v>43027</v>
      </c>
      <c r="B264" s="2">
        <v>43027</v>
      </c>
      <c r="C264" t="str">
        <f>"3729203825|103"</f>
        <v>3729203825|103</v>
      </c>
      <c r="D264" t="s">
        <v>833</v>
      </c>
      <c r="F264" s="1">
        <v>23848</v>
      </c>
      <c r="G264" s="1">
        <v>1384270.71</v>
      </c>
    </row>
    <row r="265" spans="1:7" x14ac:dyDescent="0.25">
      <c r="A265" s="2">
        <v>43027</v>
      </c>
      <c r="B265" s="2">
        <v>43027</v>
      </c>
      <c r="C265" t="str">
        <f>"0001200219101715200054605"</f>
        <v>0001200219101715200054605</v>
      </c>
      <c r="D265" t="s">
        <v>110</v>
      </c>
      <c r="F265">
        <v>770</v>
      </c>
      <c r="G265" s="1">
        <v>1385040.71</v>
      </c>
    </row>
    <row r="266" spans="1:7" x14ac:dyDescent="0.25">
      <c r="A266" s="2">
        <v>43027</v>
      </c>
      <c r="B266" s="2">
        <v>43027</v>
      </c>
      <c r="C266" t="str">
        <f>"0001200219101715210054606"</f>
        <v>0001200219101715210054606</v>
      </c>
      <c r="D266" t="s">
        <v>110</v>
      </c>
      <c r="F266">
        <v>766</v>
      </c>
      <c r="G266" s="1">
        <v>1385806.71</v>
      </c>
    </row>
    <row r="267" spans="1:7" x14ac:dyDescent="0.25">
      <c r="A267" s="2">
        <v>43027</v>
      </c>
      <c r="B267" s="2">
        <v>43027</v>
      </c>
      <c r="C267" t="str">
        <f>"0001200219101715210054607"</f>
        <v>0001200219101715210054607</v>
      </c>
      <c r="D267" t="s">
        <v>110</v>
      </c>
      <c r="F267">
        <v>224</v>
      </c>
      <c r="G267" s="1">
        <v>1386030.71</v>
      </c>
    </row>
    <row r="268" spans="1:7" x14ac:dyDescent="0.25">
      <c r="A268" s="2">
        <v>43027</v>
      </c>
      <c r="B268" s="2">
        <v>43027</v>
      </c>
      <c r="C268" t="str">
        <f>"0001200219101715220054608"</f>
        <v>0001200219101715220054608</v>
      </c>
      <c r="D268" t="s">
        <v>110</v>
      </c>
      <c r="F268">
        <v>284</v>
      </c>
      <c r="G268" s="1">
        <v>1386314.71</v>
      </c>
    </row>
    <row r="269" spans="1:7" x14ac:dyDescent="0.25">
      <c r="A269" s="2">
        <v>43027</v>
      </c>
      <c r="B269" s="2">
        <v>43027</v>
      </c>
      <c r="C269" t="str">
        <f>"00000000"</f>
        <v>00000000</v>
      </c>
      <c r="D269" t="s">
        <v>834</v>
      </c>
      <c r="F269">
        <v>560</v>
      </c>
      <c r="G269" s="1">
        <v>1386874.71</v>
      </c>
    </row>
    <row r="270" spans="1:7" x14ac:dyDescent="0.25">
      <c r="A270" s="2">
        <v>43027</v>
      </c>
      <c r="B270" s="2">
        <v>43027</v>
      </c>
      <c r="C270" t="str">
        <f>"00000000"</f>
        <v>00000000</v>
      </c>
      <c r="D270" t="s">
        <v>835</v>
      </c>
      <c r="F270">
        <v>368</v>
      </c>
      <c r="G270" s="1">
        <v>1387242.71</v>
      </c>
    </row>
    <row r="271" spans="1:7" x14ac:dyDescent="0.25">
      <c r="A271" s="2">
        <v>43027</v>
      </c>
      <c r="B271" s="2">
        <v>43027</v>
      </c>
      <c r="C271" t="str">
        <f>"00000000"</f>
        <v>00000000</v>
      </c>
      <c r="D271" t="s">
        <v>835</v>
      </c>
      <c r="F271">
        <v>739</v>
      </c>
      <c r="G271" s="1">
        <v>1387981.71</v>
      </c>
    </row>
    <row r="272" spans="1:7" x14ac:dyDescent="0.25">
      <c r="A272" s="2">
        <v>43031</v>
      </c>
      <c r="B272" s="2">
        <v>43031</v>
      </c>
      <c r="C272" t="str">
        <f>"C440642OCP101917|103"</f>
        <v>C440642OCP101917|103</v>
      </c>
      <c r="D272" t="s">
        <v>836</v>
      </c>
      <c r="F272" s="1">
        <v>1332</v>
      </c>
      <c r="G272" s="1">
        <v>1389313.71</v>
      </c>
    </row>
    <row r="273" spans="1:7" x14ac:dyDescent="0.25">
      <c r="A273" s="2">
        <v>43031</v>
      </c>
      <c r="B273" s="2">
        <v>43031</v>
      </c>
      <c r="C273" t="str">
        <f>"7323000292FC|103"</f>
        <v>7323000292FC|103</v>
      </c>
      <c r="D273" t="s">
        <v>837</v>
      </c>
      <c r="F273" s="1">
        <v>7076</v>
      </c>
      <c r="G273" s="1">
        <v>1396389.71</v>
      </c>
    </row>
    <row r="274" spans="1:7" x14ac:dyDescent="0.25">
      <c r="A274" s="2">
        <v>43031</v>
      </c>
      <c r="B274" s="2">
        <v>43031</v>
      </c>
      <c r="C274" t="str">
        <f>"022FT10172920077|103"</f>
        <v>022FT10172920077|103</v>
      </c>
      <c r="D274" t="s">
        <v>838</v>
      </c>
      <c r="F274" s="1">
        <v>6697</v>
      </c>
      <c r="G274" s="1">
        <v>1403086.71</v>
      </c>
    </row>
    <row r="275" spans="1:7" x14ac:dyDescent="0.25">
      <c r="A275" s="2">
        <v>43031</v>
      </c>
      <c r="B275" s="2">
        <v>43031</v>
      </c>
      <c r="C275" t="str">
        <f>"C500994OCP102017|103"</f>
        <v>C500994OCP102017|103</v>
      </c>
      <c r="D275" t="s">
        <v>839</v>
      </c>
      <c r="F275">
        <v>910</v>
      </c>
      <c r="G275" s="1">
        <v>1403996.71</v>
      </c>
    </row>
    <row r="276" spans="1:7" x14ac:dyDescent="0.25">
      <c r="A276" s="2">
        <v>43031</v>
      </c>
      <c r="B276" s="2">
        <v>43031</v>
      </c>
      <c r="C276" t="str">
        <f>"C445505OCP101917|103"</f>
        <v>C445505OCP101917|103</v>
      </c>
      <c r="D276" t="s">
        <v>840</v>
      </c>
      <c r="F276">
        <v>595</v>
      </c>
      <c r="G276" s="1">
        <v>1404591.71</v>
      </c>
    </row>
    <row r="277" spans="1:7" x14ac:dyDescent="0.25">
      <c r="A277" s="2">
        <v>43031</v>
      </c>
      <c r="B277" s="2">
        <v>43031</v>
      </c>
      <c r="C277" t="str">
        <f>"SE07801710231018|103"</f>
        <v>SE07801710231018|103</v>
      </c>
      <c r="D277" t="s">
        <v>841</v>
      </c>
      <c r="F277">
        <v>500</v>
      </c>
      <c r="G277" s="1">
        <v>1405091.71</v>
      </c>
    </row>
    <row r="278" spans="1:7" x14ac:dyDescent="0.25">
      <c r="A278" s="2">
        <v>43031</v>
      </c>
      <c r="B278" s="2">
        <v>43031</v>
      </c>
      <c r="C278" t="str">
        <f>"SE07801710231402|103"</f>
        <v>SE07801710231402|103</v>
      </c>
      <c r="D278" t="s">
        <v>842</v>
      </c>
      <c r="F278" s="1">
        <v>6901</v>
      </c>
      <c r="G278" s="1">
        <v>1411992.71</v>
      </c>
    </row>
    <row r="279" spans="1:7" x14ac:dyDescent="0.25">
      <c r="A279" s="2">
        <v>43031</v>
      </c>
      <c r="B279" s="2">
        <v>43031</v>
      </c>
      <c r="C279" t="str">
        <f>"3729601328|103"</f>
        <v>3729601328|103</v>
      </c>
      <c r="D279" t="s">
        <v>843</v>
      </c>
      <c r="F279" s="1">
        <v>6417</v>
      </c>
      <c r="G279" s="1">
        <v>1418409.71</v>
      </c>
    </row>
    <row r="280" spans="1:7" x14ac:dyDescent="0.25">
      <c r="A280" s="2">
        <v>43031</v>
      </c>
      <c r="B280" s="2">
        <v>43031</v>
      </c>
      <c r="C280" t="str">
        <f>"7323000292FC|103"</f>
        <v>7323000292FC|103</v>
      </c>
      <c r="D280" t="s">
        <v>844</v>
      </c>
      <c r="E280">
        <v>10</v>
      </c>
      <c r="G280" s="1">
        <v>1418399.71</v>
      </c>
    </row>
    <row r="281" spans="1:7" x14ac:dyDescent="0.25">
      <c r="A281" s="2">
        <v>43031</v>
      </c>
      <c r="B281" s="2">
        <v>43031</v>
      </c>
      <c r="C281" t="str">
        <f>"0001209923101713530571853"</f>
        <v>0001209923101713530571853</v>
      </c>
      <c r="D281" t="s">
        <v>845</v>
      </c>
      <c r="E281" s="1">
        <v>3266</v>
      </c>
      <c r="G281" s="1">
        <v>1415133.72</v>
      </c>
    </row>
    <row r="282" spans="1:7" x14ac:dyDescent="0.25">
      <c r="A282" s="2">
        <v>43031</v>
      </c>
      <c r="B282" s="2">
        <v>43031</v>
      </c>
      <c r="C282" t="str">
        <f>"0001209923101713530571853"</f>
        <v>0001209923101713530571853</v>
      </c>
      <c r="D282" t="s">
        <v>248</v>
      </c>
      <c r="E282">
        <v>14.46</v>
      </c>
      <c r="G282" s="1">
        <v>1415119.25</v>
      </c>
    </row>
    <row r="283" spans="1:7" x14ac:dyDescent="0.25">
      <c r="A283" s="2">
        <v>43031</v>
      </c>
      <c r="B283" s="2">
        <v>43031</v>
      </c>
      <c r="C283" t="str">
        <f>"0001209923101713530571853"</f>
        <v>0001209923101713530571853</v>
      </c>
      <c r="D283" t="s">
        <v>249</v>
      </c>
      <c r="E283">
        <v>1.45</v>
      </c>
      <c r="G283" s="1">
        <v>1415117.8</v>
      </c>
    </row>
    <row r="284" spans="1:7" x14ac:dyDescent="0.25">
      <c r="A284" s="2">
        <v>43031</v>
      </c>
      <c r="B284" s="2">
        <v>43031</v>
      </c>
      <c r="C284" t="str">
        <f>"0001200223101715150055839"</f>
        <v>0001200223101715150055839</v>
      </c>
      <c r="D284" t="s">
        <v>110</v>
      </c>
      <c r="F284" s="1">
        <v>3009</v>
      </c>
      <c r="G284" s="1">
        <v>1418126.8</v>
      </c>
    </row>
    <row r="285" spans="1:7" x14ac:dyDescent="0.25">
      <c r="A285" s="2">
        <v>43031</v>
      </c>
      <c r="B285" s="2">
        <v>43031</v>
      </c>
      <c r="C285" t="str">
        <f>"0001200223101715150055841"</f>
        <v>0001200223101715150055841</v>
      </c>
      <c r="D285" t="s">
        <v>110</v>
      </c>
      <c r="F285">
        <v>100</v>
      </c>
      <c r="G285" s="1">
        <v>1418226.8</v>
      </c>
    </row>
    <row r="286" spans="1:7" x14ac:dyDescent="0.25">
      <c r="A286" s="2">
        <v>43031</v>
      </c>
      <c r="B286" s="2">
        <v>43031</v>
      </c>
      <c r="C286" t="str">
        <f>"0001200223101715160055843"</f>
        <v>0001200223101715160055843</v>
      </c>
      <c r="D286" t="s">
        <v>110</v>
      </c>
      <c r="F286">
        <v>380</v>
      </c>
      <c r="G286" s="1">
        <v>1418606.8</v>
      </c>
    </row>
    <row r="287" spans="1:7" x14ac:dyDescent="0.25">
      <c r="A287" s="2">
        <v>43031</v>
      </c>
      <c r="B287" s="2">
        <v>43031</v>
      </c>
      <c r="C287" t="str">
        <f>"00000000"</f>
        <v>00000000</v>
      </c>
      <c r="D287" t="s">
        <v>846</v>
      </c>
      <c r="F287" s="1">
        <v>9564</v>
      </c>
      <c r="G287" s="1">
        <v>1428170.8</v>
      </c>
    </row>
    <row r="288" spans="1:7" x14ac:dyDescent="0.25">
      <c r="A288" s="2">
        <v>43031</v>
      </c>
      <c r="B288" s="2">
        <v>43031</v>
      </c>
      <c r="C288" t="str">
        <f>"00000000"</f>
        <v>00000000</v>
      </c>
      <c r="D288" t="s">
        <v>847</v>
      </c>
      <c r="F288">
        <v>69</v>
      </c>
      <c r="G288" s="1">
        <v>1428239.8</v>
      </c>
    </row>
    <row r="289" spans="1:7" x14ac:dyDescent="0.25">
      <c r="A289" s="2">
        <v>43031</v>
      </c>
      <c r="B289" s="2">
        <v>43031</v>
      </c>
      <c r="C289" t="str">
        <f>"00000000"</f>
        <v>00000000</v>
      </c>
      <c r="D289" t="s">
        <v>848</v>
      </c>
      <c r="F289" s="1">
        <v>2119</v>
      </c>
      <c r="G289" s="1">
        <v>1430358.8</v>
      </c>
    </row>
    <row r="290" spans="1:7" x14ac:dyDescent="0.25">
      <c r="A290" s="2">
        <v>43031</v>
      </c>
      <c r="B290" s="2">
        <v>43031</v>
      </c>
      <c r="C290" t="str">
        <f>"00000000"</f>
        <v>00000000</v>
      </c>
      <c r="D290" t="s">
        <v>849</v>
      </c>
      <c r="F290">
        <v>575</v>
      </c>
      <c r="G290" s="1">
        <v>1430933.8</v>
      </c>
    </row>
    <row r="291" spans="1:7" x14ac:dyDescent="0.25">
      <c r="A291" s="2">
        <v>43031</v>
      </c>
      <c r="B291" s="2">
        <v>43031</v>
      </c>
      <c r="C291" t="str">
        <f>"00000000"</f>
        <v>00000000</v>
      </c>
      <c r="D291" t="s">
        <v>850</v>
      </c>
      <c r="F291">
        <v>115</v>
      </c>
      <c r="G291" s="1">
        <v>1431048.8</v>
      </c>
    </row>
    <row r="292" spans="1:7" x14ac:dyDescent="0.25">
      <c r="A292" s="2">
        <v>43031</v>
      </c>
      <c r="B292" s="2">
        <v>43031</v>
      </c>
      <c r="C292" t="str">
        <f>"FT17296X5M82|103"</f>
        <v>FT17296X5M82|103</v>
      </c>
      <c r="D292" t="s">
        <v>851</v>
      </c>
      <c r="F292" s="1">
        <v>14202.17</v>
      </c>
      <c r="G292" s="1">
        <v>1445250.97</v>
      </c>
    </row>
    <row r="293" spans="1:7" x14ac:dyDescent="0.25">
      <c r="A293" s="2">
        <v>43031</v>
      </c>
      <c r="B293" s="2">
        <v>43031</v>
      </c>
      <c r="C293" t="str">
        <f>"992310TBMA01"</f>
        <v>992310TBMA01</v>
      </c>
      <c r="D293" t="s">
        <v>852</v>
      </c>
      <c r="E293">
        <v>10</v>
      </c>
      <c r="G293" s="1">
        <v>1445240.97</v>
      </c>
    </row>
    <row r="294" spans="1:7" x14ac:dyDescent="0.25">
      <c r="A294" s="2">
        <v>43031</v>
      </c>
      <c r="B294" s="2">
        <v>43031</v>
      </c>
      <c r="C294" t="str">
        <f>"992310TBMA01"</f>
        <v>992310TBMA01</v>
      </c>
      <c r="D294" t="s">
        <v>852</v>
      </c>
      <c r="F294" s="1">
        <v>8503</v>
      </c>
      <c r="G294" s="1">
        <v>1453743.97</v>
      </c>
    </row>
    <row r="295" spans="1:7" x14ac:dyDescent="0.25">
      <c r="A295" s="2">
        <v>43032</v>
      </c>
      <c r="B295" s="2">
        <v>43032</v>
      </c>
      <c r="C295" t="str">
        <f>"00106898  "</f>
        <v xml:space="preserve">00106898  </v>
      </c>
      <c r="D295" t="s">
        <v>853</v>
      </c>
      <c r="E295" s="1">
        <v>2050</v>
      </c>
      <c r="G295" s="1">
        <v>1451693.97</v>
      </c>
    </row>
    <row r="296" spans="1:7" x14ac:dyDescent="0.25">
      <c r="A296" s="2">
        <v>43032</v>
      </c>
      <c r="B296" s="2">
        <v>43032</v>
      </c>
      <c r="C296" t="str">
        <f>"00106887  "</f>
        <v xml:space="preserve">00106887  </v>
      </c>
      <c r="D296" t="s">
        <v>854</v>
      </c>
      <c r="E296" s="1">
        <v>1025</v>
      </c>
      <c r="G296" s="1">
        <v>1450668.97</v>
      </c>
    </row>
    <row r="297" spans="1:7" x14ac:dyDescent="0.25">
      <c r="A297" s="2">
        <v>43032</v>
      </c>
      <c r="B297" s="2">
        <v>43032</v>
      </c>
      <c r="C297" t="str">
        <f>"0001203924101710500095157"</f>
        <v>0001203924101710500095157</v>
      </c>
      <c r="D297" t="s">
        <v>855</v>
      </c>
      <c r="F297">
        <v>15</v>
      </c>
      <c r="G297" s="1">
        <v>1450683.97</v>
      </c>
    </row>
    <row r="298" spans="1:7" x14ac:dyDescent="0.25">
      <c r="A298" s="2">
        <v>43032</v>
      </c>
      <c r="B298" s="2">
        <v>43032</v>
      </c>
      <c r="C298" t="str">
        <f>"00000000"</f>
        <v>00000000</v>
      </c>
      <c r="D298" t="s">
        <v>856</v>
      </c>
      <c r="F298" s="1">
        <v>7221</v>
      </c>
      <c r="G298" s="1">
        <v>1457904.97</v>
      </c>
    </row>
    <row r="299" spans="1:7" x14ac:dyDescent="0.25">
      <c r="A299" s="2">
        <v>43032</v>
      </c>
      <c r="B299" s="2">
        <v>43032</v>
      </c>
      <c r="C299" t="str">
        <f>"00000000"</f>
        <v>00000000</v>
      </c>
      <c r="D299" t="s">
        <v>857</v>
      </c>
      <c r="F299">
        <v>200</v>
      </c>
      <c r="G299" s="1">
        <v>1458104.97</v>
      </c>
    </row>
    <row r="300" spans="1:7" x14ac:dyDescent="0.25">
      <c r="A300" s="2">
        <v>43032</v>
      </c>
      <c r="B300" s="2">
        <v>43032</v>
      </c>
      <c r="C300" t="str">
        <f>"00000000"</f>
        <v>00000000</v>
      </c>
      <c r="D300" t="s">
        <v>858</v>
      </c>
      <c r="F300" s="1">
        <v>8636</v>
      </c>
      <c r="G300" s="1">
        <v>1466740.97</v>
      </c>
    </row>
    <row r="301" spans="1:7" x14ac:dyDescent="0.25">
      <c r="A301" s="2">
        <v>43032</v>
      </c>
      <c r="B301" s="2">
        <v>43032</v>
      </c>
      <c r="C301" t="str">
        <f>"00000000"</f>
        <v>00000000</v>
      </c>
      <c r="D301" t="s">
        <v>859</v>
      </c>
      <c r="F301" s="1">
        <v>3416</v>
      </c>
      <c r="G301" s="1">
        <v>1470156.97</v>
      </c>
    </row>
    <row r="302" spans="1:7" x14ac:dyDescent="0.25">
      <c r="A302" s="2">
        <v>43032</v>
      </c>
      <c r="B302" s="2">
        <v>43032</v>
      </c>
      <c r="C302" t="str">
        <f>"8377100296FC|103"</f>
        <v>8377100296FC|103</v>
      </c>
      <c r="D302" t="s">
        <v>860</v>
      </c>
      <c r="E302">
        <v>7.15</v>
      </c>
      <c r="G302" s="1">
        <v>1470149.82</v>
      </c>
    </row>
    <row r="303" spans="1:7" x14ac:dyDescent="0.25">
      <c r="A303" s="2">
        <v>43032</v>
      </c>
      <c r="B303" s="2">
        <v>43032</v>
      </c>
      <c r="C303" t="str">
        <f>"8377100296FC|103"</f>
        <v>8377100296FC|103</v>
      </c>
      <c r="D303" t="s">
        <v>861</v>
      </c>
      <c r="F303">
        <v>715</v>
      </c>
      <c r="G303" s="1">
        <v>1470864.82</v>
      </c>
    </row>
    <row r="304" spans="1:7" x14ac:dyDescent="0.25">
      <c r="A304" s="2">
        <v>43032</v>
      </c>
      <c r="B304" s="2">
        <v>43032</v>
      </c>
      <c r="C304" t="str">
        <f>"013RTGS172960005|103"</f>
        <v>013RTGS172960005|103</v>
      </c>
      <c r="D304" t="s">
        <v>862</v>
      </c>
      <c r="F304" s="1">
        <v>21714</v>
      </c>
      <c r="G304" s="1">
        <v>1492578.82</v>
      </c>
    </row>
    <row r="305" spans="1:7" x14ac:dyDescent="0.25">
      <c r="A305" s="2">
        <v>43032</v>
      </c>
      <c r="B305" s="2">
        <v>43032</v>
      </c>
      <c r="C305" t="str">
        <f>"013RTGS172960006|103"</f>
        <v>013RTGS172960006|103</v>
      </c>
      <c r="D305" t="s">
        <v>863</v>
      </c>
      <c r="F305">
        <v>378</v>
      </c>
      <c r="G305" s="1">
        <v>1492956.82</v>
      </c>
    </row>
    <row r="306" spans="1:7" x14ac:dyDescent="0.25">
      <c r="A306" s="2">
        <v>43032</v>
      </c>
      <c r="B306" s="2">
        <v>43032</v>
      </c>
      <c r="C306" t="str">
        <f>"0001200224101716200056899"</f>
        <v>0001200224101716200056899</v>
      </c>
      <c r="D306" t="s">
        <v>110</v>
      </c>
      <c r="F306">
        <v>800</v>
      </c>
      <c r="G306" s="1">
        <v>1493756.82</v>
      </c>
    </row>
    <row r="307" spans="1:7" x14ac:dyDescent="0.25">
      <c r="A307" s="2">
        <v>43032</v>
      </c>
      <c r="B307" s="2">
        <v>43032</v>
      </c>
      <c r="C307" t="str">
        <f>"00000000"</f>
        <v>00000000</v>
      </c>
      <c r="D307" t="s">
        <v>864</v>
      </c>
      <c r="F307" s="1">
        <v>5882</v>
      </c>
      <c r="G307" s="1">
        <v>1499638.82</v>
      </c>
    </row>
    <row r="308" spans="1:7" x14ac:dyDescent="0.25">
      <c r="A308" s="2">
        <v>43032</v>
      </c>
      <c r="B308" s="2">
        <v>43032</v>
      </c>
      <c r="C308" t="str">
        <f>"0001209924101716450572579"</f>
        <v>0001209924101716450572579</v>
      </c>
      <c r="D308" t="s">
        <v>865</v>
      </c>
      <c r="E308" s="1">
        <v>8372.7999999999993</v>
      </c>
      <c r="G308" s="1">
        <v>1491266.02</v>
      </c>
    </row>
    <row r="309" spans="1:7" x14ac:dyDescent="0.25">
      <c r="A309" s="2">
        <v>43032</v>
      </c>
      <c r="B309" s="2">
        <v>43032</v>
      </c>
      <c r="C309" t="str">
        <f>"0001209924101716450572579"</f>
        <v>0001209924101716450572579</v>
      </c>
      <c r="D309" t="s">
        <v>248</v>
      </c>
      <c r="E309">
        <v>14.46</v>
      </c>
      <c r="G309" s="1">
        <v>1491251.56</v>
      </c>
    </row>
    <row r="310" spans="1:7" x14ac:dyDescent="0.25">
      <c r="A310" s="2">
        <v>43032</v>
      </c>
      <c r="B310" s="2">
        <v>43032</v>
      </c>
      <c r="C310" t="str">
        <f>"0001209924101716450572579"</f>
        <v>0001209924101716450572579</v>
      </c>
      <c r="D310" t="s">
        <v>249</v>
      </c>
      <c r="E310">
        <v>1.45</v>
      </c>
      <c r="G310" s="1">
        <v>1491250.11</v>
      </c>
    </row>
    <row r="311" spans="1:7" x14ac:dyDescent="0.25">
      <c r="A311" s="2">
        <v>43032</v>
      </c>
      <c r="B311" s="2">
        <v>43032</v>
      </c>
      <c r="C311" t="str">
        <f>"992410TBMA08"</f>
        <v>992410TBMA08</v>
      </c>
      <c r="D311" t="s">
        <v>866</v>
      </c>
      <c r="E311">
        <v>1</v>
      </c>
      <c r="G311" s="1">
        <v>1491249.11</v>
      </c>
    </row>
    <row r="312" spans="1:7" x14ac:dyDescent="0.25">
      <c r="A312" s="2">
        <v>43032</v>
      </c>
      <c r="B312" s="2">
        <v>43032</v>
      </c>
      <c r="C312" t="str">
        <f>"992410TBMA08"</f>
        <v>992410TBMA08</v>
      </c>
      <c r="D312" t="s">
        <v>866</v>
      </c>
      <c r="F312" s="1">
        <v>1572.08</v>
      </c>
      <c r="G312" s="1">
        <v>1492821.19</v>
      </c>
    </row>
    <row r="313" spans="1:7" x14ac:dyDescent="0.25">
      <c r="A313" s="2">
        <v>43032</v>
      </c>
      <c r="B313" s="2">
        <v>43032</v>
      </c>
      <c r="C313" t="str">
        <f>"992410TBMA08"</f>
        <v>992410TBMA08</v>
      </c>
      <c r="D313" t="s">
        <v>866</v>
      </c>
      <c r="E313">
        <v>10</v>
      </c>
      <c r="G313" s="1">
        <v>1492811.19</v>
      </c>
    </row>
    <row r="314" spans="1:7" x14ac:dyDescent="0.25">
      <c r="A314" s="2">
        <v>43032</v>
      </c>
      <c r="B314" s="2">
        <v>43032</v>
      </c>
      <c r="C314" t="str">
        <f>"SE0780171024E773|103"</f>
        <v>SE0780171024E773|103</v>
      </c>
      <c r="D314" t="s">
        <v>867</v>
      </c>
      <c r="F314" s="1">
        <v>2244</v>
      </c>
      <c r="G314" s="1">
        <v>1495055.19</v>
      </c>
    </row>
    <row r="315" spans="1:7" x14ac:dyDescent="0.25">
      <c r="A315" s="2">
        <v>43034</v>
      </c>
      <c r="B315" s="2">
        <v>43034</v>
      </c>
      <c r="C315" t="str">
        <f>"0001203926101709440098183"</f>
        <v>0001203926101709440098183</v>
      </c>
      <c r="D315" t="s">
        <v>110</v>
      </c>
      <c r="F315">
        <v>23</v>
      </c>
      <c r="G315" s="1">
        <v>1495078.19</v>
      </c>
    </row>
    <row r="316" spans="1:7" x14ac:dyDescent="0.25">
      <c r="A316" s="2">
        <v>43035</v>
      </c>
      <c r="B316" s="2">
        <v>43035</v>
      </c>
      <c r="C316" t="str">
        <f>"3729701785|103"</f>
        <v>3729701785|103</v>
      </c>
      <c r="D316" t="s">
        <v>868</v>
      </c>
      <c r="F316" s="1">
        <v>1333</v>
      </c>
      <c r="G316" s="1">
        <v>1496411.19</v>
      </c>
    </row>
    <row r="317" spans="1:7" x14ac:dyDescent="0.25">
      <c r="A317" s="2">
        <v>43035</v>
      </c>
      <c r="B317" s="2">
        <v>43035</v>
      </c>
      <c r="C317" t="str">
        <f>"4735400298FC|103"</f>
        <v>4735400298FC|103</v>
      </c>
      <c r="D317" t="s">
        <v>869</v>
      </c>
      <c r="F317">
        <v>595.01</v>
      </c>
      <c r="G317" s="1">
        <v>1497006.2</v>
      </c>
    </row>
    <row r="318" spans="1:7" x14ac:dyDescent="0.25">
      <c r="A318" s="2">
        <v>43035</v>
      </c>
      <c r="B318" s="2">
        <v>43035</v>
      </c>
      <c r="C318" t="str">
        <f>"4735400298FC|103"</f>
        <v>4735400298FC|103</v>
      </c>
      <c r="D318" t="s">
        <v>870</v>
      </c>
      <c r="E318">
        <v>5.95</v>
      </c>
      <c r="G318" s="1">
        <v>1497000.25</v>
      </c>
    </row>
    <row r="319" spans="1:7" x14ac:dyDescent="0.25">
      <c r="A319" s="2">
        <v>43035</v>
      </c>
      <c r="B319" s="2">
        <v>43035</v>
      </c>
      <c r="C319" t="str">
        <f>"IR07801710270624|103"</f>
        <v>IR07801710270624|103</v>
      </c>
      <c r="D319" t="s">
        <v>871</v>
      </c>
      <c r="F319">
        <v>975</v>
      </c>
      <c r="G319" s="1">
        <v>1497975.25</v>
      </c>
    </row>
    <row r="320" spans="1:7" x14ac:dyDescent="0.25">
      <c r="A320" s="2">
        <v>43035</v>
      </c>
      <c r="B320" s="2">
        <v>43035</v>
      </c>
      <c r="C320" t="str">
        <f>"IR07801710270690|103"</f>
        <v>IR07801710270690|103</v>
      </c>
      <c r="D320" t="s">
        <v>872</v>
      </c>
      <c r="F320" s="1">
        <v>3100</v>
      </c>
      <c r="G320" s="1">
        <v>1501075.25</v>
      </c>
    </row>
    <row r="321" spans="1:7" x14ac:dyDescent="0.25">
      <c r="A321" s="2">
        <v>43035</v>
      </c>
      <c r="B321" s="2">
        <v>43035</v>
      </c>
      <c r="C321" t="str">
        <f>"0001209927101711470572823"</f>
        <v>0001209927101711470572823</v>
      </c>
      <c r="D321" t="s">
        <v>873</v>
      </c>
      <c r="E321" s="1">
        <v>49319.61</v>
      </c>
      <c r="G321" s="1">
        <v>1451755.64</v>
      </c>
    </row>
    <row r="322" spans="1:7" x14ac:dyDescent="0.25">
      <c r="A322" s="2">
        <v>43035</v>
      </c>
      <c r="B322" s="2">
        <v>43035</v>
      </c>
      <c r="C322" t="str">
        <f>"0001209927101711470572823"</f>
        <v>0001209927101711470572823</v>
      </c>
      <c r="D322" t="s">
        <v>248</v>
      </c>
      <c r="E322">
        <v>14.44</v>
      </c>
      <c r="G322" s="1">
        <v>1451741.2</v>
      </c>
    </row>
    <row r="323" spans="1:7" x14ac:dyDescent="0.25">
      <c r="A323" s="2">
        <v>43035</v>
      </c>
      <c r="B323" s="2">
        <v>43035</v>
      </c>
      <c r="C323" t="str">
        <f>"0001209927101711470572823"</f>
        <v>0001209927101711470572823</v>
      </c>
      <c r="D323" t="s">
        <v>249</v>
      </c>
      <c r="E323">
        <v>1.44</v>
      </c>
      <c r="G323" s="1">
        <v>1451739.76</v>
      </c>
    </row>
    <row r="324" spans="1:7" x14ac:dyDescent="0.25">
      <c r="A324" s="2">
        <v>43035</v>
      </c>
      <c r="B324" s="2">
        <v>43035</v>
      </c>
      <c r="C324" t="str">
        <f>"0001209927101712390572849"</f>
        <v>0001209927101712390572849</v>
      </c>
      <c r="D324" t="s">
        <v>874</v>
      </c>
      <c r="E324" s="1">
        <v>2818.99</v>
      </c>
      <c r="G324" s="1">
        <v>1448920.77</v>
      </c>
    </row>
    <row r="325" spans="1:7" x14ac:dyDescent="0.25">
      <c r="A325" s="2">
        <v>43035</v>
      </c>
      <c r="B325" s="2">
        <v>43035</v>
      </c>
      <c r="C325" t="str">
        <f>"0001209927101712390572849"</f>
        <v>0001209927101712390572849</v>
      </c>
      <c r="D325" t="s">
        <v>248</v>
      </c>
      <c r="E325">
        <v>14.44</v>
      </c>
      <c r="G325" s="1">
        <v>1448906.33</v>
      </c>
    </row>
    <row r="326" spans="1:7" x14ac:dyDescent="0.25">
      <c r="A326" s="2">
        <v>43035</v>
      </c>
      <c r="B326" s="2">
        <v>43035</v>
      </c>
      <c r="C326" t="str">
        <f>"0001209927101712390572849"</f>
        <v>0001209927101712390572849</v>
      </c>
      <c r="D326" t="s">
        <v>249</v>
      </c>
      <c r="E326">
        <v>1.44</v>
      </c>
      <c r="G326" s="1">
        <v>1448904.89</v>
      </c>
    </row>
    <row r="327" spans="1:7" x14ac:dyDescent="0.25">
      <c r="A327" s="2">
        <v>43035</v>
      </c>
      <c r="B327" s="2">
        <v>43035</v>
      </c>
      <c r="C327" t="str">
        <f>"00000000"</f>
        <v>00000000</v>
      </c>
      <c r="D327" t="s">
        <v>875</v>
      </c>
      <c r="F327" s="1">
        <v>1815</v>
      </c>
      <c r="G327" s="1">
        <v>1450719.89</v>
      </c>
    </row>
    <row r="328" spans="1:7" x14ac:dyDescent="0.25">
      <c r="A328" s="2">
        <v>43035</v>
      </c>
      <c r="B328" s="2">
        <v>43035</v>
      </c>
      <c r="C328" t="str">
        <f>"00000000"</f>
        <v>00000000</v>
      </c>
      <c r="D328" t="s">
        <v>876</v>
      </c>
      <c r="F328" s="1">
        <v>2302</v>
      </c>
      <c r="G328" s="1">
        <v>1453021.89</v>
      </c>
    </row>
    <row r="329" spans="1:7" x14ac:dyDescent="0.25">
      <c r="A329" s="2">
        <v>43035</v>
      </c>
      <c r="B329" s="2">
        <v>43035</v>
      </c>
      <c r="C329" t="str">
        <f>"0001200227101715500057627"</f>
        <v>0001200227101715500057627</v>
      </c>
      <c r="D329" t="s">
        <v>211</v>
      </c>
      <c r="E329" s="1">
        <v>3900</v>
      </c>
      <c r="G329" s="1">
        <v>1449121.89</v>
      </c>
    </row>
    <row r="330" spans="1:7" x14ac:dyDescent="0.25">
      <c r="A330" s="2">
        <v>43035</v>
      </c>
      <c r="B330" s="2">
        <v>43035</v>
      </c>
      <c r="C330" t="str">
        <f>"0001200227101715560057638"</f>
        <v>0001200227101715560057638</v>
      </c>
      <c r="D330" t="s">
        <v>110</v>
      </c>
      <c r="F330" s="1">
        <v>1600</v>
      </c>
      <c r="G330" s="1">
        <v>1450721.89</v>
      </c>
    </row>
    <row r="331" spans="1:7" x14ac:dyDescent="0.25">
      <c r="A331" s="2">
        <v>43035</v>
      </c>
      <c r="B331" s="2">
        <v>43035</v>
      </c>
      <c r="C331" t="str">
        <f>"0001200227101715560057639"</f>
        <v>0001200227101715560057639</v>
      </c>
      <c r="D331" t="s">
        <v>110</v>
      </c>
      <c r="F331">
        <v>300</v>
      </c>
      <c r="G331" s="1">
        <v>1451021.89</v>
      </c>
    </row>
    <row r="332" spans="1:7" x14ac:dyDescent="0.25">
      <c r="A332" s="2">
        <v>43035</v>
      </c>
      <c r="B332" s="2">
        <v>43035</v>
      </c>
      <c r="C332" t="str">
        <f>"5349600300FC|103"</f>
        <v>5349600300FC|103</v>
      </c>
      <c r="D332" t="s">
        <v>877</v>
      </c>
      <c r="E332">
        <v>6.7</v>
      </c>
      <c r="G332" s="1">
        <v>1451015.19</v>
      </c>
    </row>
    <row r="333" spans="1:7" x14ac:dyDescent="0.25">
      <c r="A333" s="2">
        <v>43035</v>
      </c>
      <c r="B333" s="2">
        <v>43035</v>
      </c>
      <c r="C333" t="str">
        <f>"5349600300FC|103"</f>
        <v>5349600300FC|103</v>
      </c>
      <c r="D333" t="s">
        <v>878</v>
      </c>
      <c r="F333">
        <v>670.01</v>
      </c>
      <c r="G333" s="1">
        <v>1451685.2</v>
      </c>
    </row>
    <row r="334" spans="1:7" x14ac:dyDescent="0.25">
      <c r="A334" s="2">
        <v>43035</v>
      </c>
      <c r="B334" s="2">
        <v>43035</v>
      </c>
      <c r="C334" t="str">
        <f>"992710TBMA03"</f>
        <v>992710TBMA03</v>
      </c>
      <c r="D334" t="s">
        <v>879</v>
      </c>
      <c r="E334">
        <v>10</v>
      </c>
      <c r="G334" s="1">
        <v>1451675.2</v>
      </c>
    </row>
    <row r="335" spans="1:7" x14ac:dyDescent="0.25">
      <c r="A335" s="2">
        <v>43035</v>
      </c>
      <c r="B335" s="2">
        <v>43035</v>
      </c>
      <c r="C335" t="str">
        <f>"992710TBMA03"</f>
        <v>992710TBMA03</v>
      </c>
      <c r="D335" t="s">
        <v>879</v>
      </c>
      <c r="E335">
        <v>1</v>
      </c>
      <c r="G335" s="1">
        <v>1451674.2</v>
      </c>
    </row>
    <row r="336" spans="1:7" x14ac:dyDescent="0.25">
      <c r="A336" s="2">
        <v>43035</v>
      </c>
      <c r="B336" s="2">
        <v>43035</v>
      </c>
      <c r="C336" t="str">
        <f>"992710TBMA03"</f>
        <v>992710TBMA03</v>
      </c>
      <c r="D336" t="s">
        <v>879</v>
      </c>
      <c r="F336" s="1">
        <v>11640</v>
      </c>
      <c r="G336" s="1">
        <v>1463314.2</v>
      </c>
    </row>
    <row r="337" spans="1:7" x14ac:dyDescent="0.25">
      <c r="A337" s="2">
        <v>43035</v>
      </c>
      <c r="B337" s="2">
        <v>43035</v>
      </c>
      <c r="C337" t="str">
        <f>"00000000"</f>
        <v>00000000</v>
      </c>
      <c r="D337" t="s">
        <v>880</v>
      </c>
      <c r="E337">
        <v>1</v>
      </c>
      <c r="G337" s="1">
        <v>1463313.2</v>
      </c>
    </row>
    <row r="338" spans="1:7" x14ac:dyDescent="0.25">
      <c r="A338" s="2">
        <v>43035</v>
      </c>
      <c r="B338" s="2">
        <v>43035</v>
      </c>
      <c r="C338" t="str">
        <f>"00000000"</f>
        <v>00000000</v>
      </c>
      <c r="D338" t="s">
        <v>881</v>
      </c>
      <c r="E338">
        <v>10</v>
      </c>
      <c r="G338" s="1">
        <v>1463303.2</v>
      </c>
    </row>
    <row r="339" spans="1:7" x14ac:dyDescent="0.25">
      <c r="A339" s="2">
        <v>43035</v>
      </c>
      <c r="B339" s="2">
        <v>43035</v>
      </c>
      <c r="C339" t="str">
        <f>"00000000"</f>
        <v>00000000</v>
      </c>
      <c r="D339" t="s">
        <v>882</v>
      </c>
      <c r="F339" s="1">
        <v>27026</v>
      </c>
      <c r="G339" s="1">
        <v>1490329.2</v>
      </c>
    </row>
    <row r="340" spans="1:7" x14ac:dyDescent="0.25">
      <c r="A340" s="2">
        <v>43038</v>
      </c>
      <c r="B340" s="2">
        <v>43038</v>
      </c>
      <c r="C340" t="str">
        <f>"00106862  "</f>
        <v xml:space="preserve">00106862  </v>
      </c>
      <c r="D340" t="s">
        <v>883</v>
      </c>
      <c r="E340">
        <v>70</v>
      </c>
      <c r="G340" s="1">
        <v>1490259.2</v>
      </c>
    </row>
    <row r="341" spans="1:7" x14ac:dyDescent="0.25">
      <c r="A341" s="2">
        <v>43038</v>
      </c>
      <c r="B341" s="2">
        <v>43038</v>
      </c>
      <c r="C341" t="str">
        <f>"00106864  "</f>
        <v xml:space="preserve">00106864  </v>
      </c>
      <c r="D341" t="s">
        <v>884</v>
      </c>
      <c r="E341">
        <v>715.5</v>
      </c>
      <c r="G341" s="1">
        <v>1489543.7</v>
      </c>
    </row>
    <row r="342" spans="1:7" x14ac:dyDescent="0.25">
      <c r="A342" s="2">
        <v>43038</v>
      </c>
      <c r="B342" s="2">
        <v>43038</v>
      </c>
      <c r="C342" t="str">
        <f>"HBKG17J26O490639|103"</f>
        <v>HBKG17J26O490639|103</v>
      </c>
      <c r="D342" t="s">
        <v>885</v>
      </c>
      <c r="F342" s="1">
        <v>4807</v>
      </c>
      <c r="G342" s="1">
        <v>1494350.7</v>
      </c>
    </row>
    <row r="343" spans="1:7" x14ac:dyDescent="0.25">
      <c r="A343" s="2">
        <v>43038</v>
      </c>
      <c r="B343" s="2">
        <v>43038</v>
      </c>
      <c r="C343" t="str">
        <f>"FT17300GM6SS|103"</f>
        <v>FT17300GM6SS|103</v>
      </c>
      <c r="D343" t="s">
        <v>886</v>
      </c>
      <c r="F343" s="1">
        <v>8308</v>
      </c>
      <c r="G343" s="1">
        <v>1502658.7</v>
      </c>
    </row>
    <row r="344" spans="1:7" x14ac:dyDescent="0.25">
      <c r="A344" s="2">
        <v>43038</v>
      </c>
      <c r="B344" s="2">
        <v>43038</v>
      </c>
      <c r="C344" t="str">
        <f>"FT17303QGD6Z|103"</f>
        <v>FT17303QGD6Z|103</v>
      </c>
      <c r="D344" t="s">
        <v>887</v>
      </c>
      <c r="F344">
        <v>915</v>
      </c>
      <c r="G344" s="1">
        <v>1503573.7</v>
      </c>
    </row>
    <row r="345" spans="1:7" x14ac:dyDescent="0.25">
      <c r="A345" s="2">
        <v>43038</v>
      </c>
      <c r="B345" s="2">
        <v>43038</v>
      </c>
      <c r="C345" t="str">
        <f>"0001200230101713240058534"</f>
        <v>0001200230101713240058534</v>
      </c>
      <c r="D345" t="s">
        <v>758</v>
      </c>
      <c r="E345" s="1">
        <v>12901</v>
      </c>
      <c r="G345" s="1">
        <v>1490672.7</v>
      </c>
    </row>
    <row r="346" spans="1:7" x14ac:dyDescent="0.25">
      <c r="A346" s="2">
        <v>43038</v>
      </c>
      <c r="B346" s="2">
        <v>43038</v>
      </c>
      <c r="C346" t="str">
        <f>"6483200297FC|103"</f>
        <v>6483200297FC|103</v>
      </c>
      <c r="D346" t="s">
        <v>888</v>
      </c>
      <c r="E346">
        <v>6.25</v>
      </c>
      <c r="G346" s="1">
        <v>1490666.45</v>
      </c>
    </row>
    <row r="347" spans="1:7" x14ac:dyDescent="0.25">
      <c r="A347" s="2">
        <v>43038</v>
      </c>
      <c r="B347" s="2">
        <v>43038</v>
      </c>
      <c r="C347" t="str">
        <f>"6483200297FC|103"</f>
        <v>6483200297FC|103</v>
      </c>
      <c r="D347" t="s">
        <v>889</v>
      </c>
      <c r="F347">
        <v>625</v>
      </c>
      <c r="G347" s="1">
        <v>1491291.45</v>
      </c>
    </row>
    <row r="348" spans="1:7" x14ac:dyDescent="0.25">
      <c r="A348" s="2">
        <v>43038</v>
      </c>
      <c r="B348" s="2">
        <v>43038</v>
      </c>
      <c r="C348" t="str">
        <f>"0001200330101714110130532"</f>
        <v>0001200330101714110130532</v>
      </c>
      <c r="D348" t="s">
        <v>211</v>
      </c>
      <c r="E348" s="1">
        <v>10948</v>
      </c>
      <c r="G348" s="1">
        <v>1480343.45</v>
      </c>
    </row>
    <row r="349" spans="1:7" x14ac:dyDescent="0.25">
      <c r="A349" s="2">
        <v>43038</v>
      </c>
      <c r="B349" s="2">
        <v>43038</v>
      </c>
      <c r="C349" t="str">
        <f>"993010TBMA00"</f>
        <v>993010TBMA00</v>
      </c>
      <c r="D349" t="s">
        <v>890</v>
      </c>
      <c r="E349">
        <v>0.55000000000000004</v>
      </c>
      <c r="G349" s="1">
        <v>1480342.9</v>
      </c>
    </row>
    <row r="350" spans="1:7" x14ac:dyDescent="0.25">
      <c r="A350" s="2">
        <v>43038</v>
      </c>
      <c r="B350" s="2">
        <v>43038</v>
      </c>
      <c r="C350" t="str">
        <f>"0001209930101714140573295"</f>
        <v>0001209930101714140573295</v>
      </c>
      <c r="D350" t="s">
        <v>891</v>
      </c>
      <c r="E350" s="1">
        <v>928803.57</v>
      </c>
      <c r="G350" s="1">
        <v>551539.32999999996</v>
      </c>
    </row>
    <row r="351" spans="1:7" x14ac:dyDescent="0.25">
      <c r="A351" s="2">
        <v>43038</v>
      </c>
      <c r="B351" s="2">
        <v>43038</v>
      </c>
      <c r="C351" t="str">
        <f>"0001209930101714140573295"</f>
        <v>0001209930101714140573295</v>
      </c>
      <c r="D351" t="s">
        <v>307</v>
      </c>
      <c r="E351">
        <v>4.82</v>
      </c>
      <c r="G351" s="1">
        <v>551534.51</v>
      </c>
    </row>
    <row r="352" spans="1:7" x14ac:dyDescent="0.25">
      <c r="A352" s="2">
        <v>43038</v>
      </c>
      <c r="B352" s="2">
        <v>43038</v>
      </c>
      <c r="C352" t="str">
        <f>"0001209930101714140573295"</f>
        <v>0001209930101714140573295</v>
      </c>
      <c r="D352" t="s">
        <v>249</v>
      </c>
      <c r="E352">
        <v>0.48</v>
      </c>
      <c r="G352" s="1">
        <v>551534.03</v>
      </c>
    </row>
    <row r="353" spans="1:7" x14ac:dyDescent="0.25">
      <c r="A353" s="2">
        <v>43038</v>
      </c>
      <c r="B353" s="2">
        <v>43038</v>
      </c>
      <c r="C353" t="str">
        <f>"0001209930101715020573355"</f>
        <v>0001209930101715020573355</v>
      </c>
      <c r="D353" t="s">
        <v>892</v>
      </c>
      <c r="E353" s="1">
        <v>712214.06</v>
      </c>
      <c r="G353" s="1">
        <v>-160680.03</v>
      </c>
    </row>
    <row r="354" spans="1:7" x14ac:dyDescent="0.25">
      <c r="A354" s="2">
        <v>43038</v>
      </c>
      <c r="B354" s="2">
        <v>43038</v>
      </c>
      <c r="C354" t="str">
        <f>"0001209930101715020573355"</f>
        <v>0001209930101715020573355</v>
      </c>
      <c r="D354" t="s">
        <v>307</v>
      </c>
      <c r="E354">
        <v>4.82</v>
      </c>
      <c r="G354" s="1">
        <v>-160684.85</v>
      </c>
    </row>
    <row r="355" spans="1:7" x14ac:dyDescent="0.25">
      <c r="A355" s="2">
        <v>43038</v>
      </c>
      <c r="B355" s="2">
        <v>43038</v>
      </c>
      <c r="C355" t="str">
        <f>"0001209930101715020573355"</f>
        <v>0001209930101715020573355</v>
      </c>
      <c r="D355" t="s">
        <v>249</v>
      </c>
      <c r="E355">
        <v>0.48</v>
      </c>
      <c r="G355" s="1">
        <v>-160685.32999999999</v>
      </c>
    </row>
    <row r="356" spans="1:7" x14ac:dyDescent="0.25">
      <c r="A356" s="2">
        <v>43038</v>
      </c>
      <c r="B356" s="2">
        <v>43038</v>
      </c>
      <c r="C356" t="str">
        <f>"0001200230101715300058758"</f>
        <v>0001200230101715300058758</v>
      </c>
      <c r="D356" t="s">
        <v>110</v>
      </c>
      <c r="F356">
        <v>195</v>
      </c>
      <c r="G356" s="1">
        <v>-160490.32999999999</v>
      </c>
    </row>
    <row r="357" spans="1:7" x14ac:dyDescent="0.25">
      <c r="A357" s="2">
        <v>43038</v>
      </c>
      <c r="B357" s="2">
        <v>43038</v>
      </c>
      <c r="C357" t="str">
        <f>"0001200230101715320058763"</f>
        <v>0001200230101715320058763</v>
      </c>
      <c r="D357" t="s">
        <v>110</v>
      </c>
      <c r="F357">
        <v>175</v>
      </c>
      <c r="G357" s="1">
        <v>-160315.32999999999</v>
      </c>
    </row>
    <row r="358" spans="1:7" x14ac:dyDescent="0.25">
      <c r="A358" s="2">
        <v>43038</v>
      </c>
      <c r="B358" s="2">
        <v>43038</v>
      </c>
      <c r="C358" t="str">
        <f>"0001200230101715330058766"</f>
        <v>0001200230101715330058766</v>
      </c>
      <c r="D358" t="s">
        <v>110</v>
      </c>
      <c r="F358">
        <v>30</v>
      </c>
      <c r="G358" s="1">
        <v>-160285.32999999999</v>
      </c>
    </row>
    <row r="359" spans="1:7" x14ac:dyDescent="0.25">
      <c r="A359" s="2">
        <v>43038</v>
      </c>
      <c r="B359" s="2">
        <v>43038</v>
      </c>
      <c r="C359" t="str">
        <f>"0001200230101715330058769"</f>
        <v>0001200230101715330058769</v>
      </c>
      <c r="D359" t="s">
        <v>110</v>
      </c>
      <c r="F359">
        <v>490</v>
      </c>
      <c r="G359" s="1">
        <v>-159795.32999999999</v>
      </c>
    </row>
    <row r="360" spans="1:7" x14ac:dyDescent="0.25">
      <c r="A360" s="2">
        <v>43038</v>
      </c>
      <c r="B360" s="2">
        <v>43038</v>
      </c>
      <c r="C360" t="str">
        <f>"0001200230101715340058771"</f>
        <v>0001200230101715340058771</v>
      </c>
      <c r="D360" t="s">
        <v>110</v>
      </c>
      <c r="F360">
        <v>661</v>
      </c>
      <c r="G360" s="1">
        <v>-159134.32999999999</v>
      </c>
    </row>
    <row r="361" spans="1:7" x14ac:dyDescent="0.25">
      <c r="A361" s="2">
        <v>43039</v>
      </c>
      <c r="B361" s="2">
        <v>43039</v>
      </c>
      <c r="C361" t="str">
        <f>"C398541OCP103017|103"</f>
        <v>C398541OCP103017|103</v>
      </c>
      <c r="D361" t="s">
        <v>893</v>
      </c>
      <c r="E361">
        <v>10</v>
      </c>
      <c r="G361" s="1">
        <v>-159144.32999999999</v>
      </c>
    </row>
    <row r="362" spans="1:7" x14ac:dyDescent="0.25">
      <c r="A362" s="2">
        <v>43039</v>
      </c>
      <c r="B362" s="2">
        <v>43039</v>
      </c>
      <c r="C362" t="str">
        <f>"F51030570013000|103"</f>
        <v>F51030570013000|103</v>
      </c>
      <c r="D362" t="s">
        <v>894</v>
      </c>
      <c r="E362">
        <v>10</v>
      </c>
      <c r="G362" s="1">
        <v>-159154.32999999999</v>
      </c>
    </row>
    <row r="363" spans="1:7" x14ac:dyDescent="0.25">
      <c r="A363" s="2">
        <v>43039</v>
      </c>
      <c r="B363" s="2">
        <v>43039</v>
      </c>
      <c r="C363" t="str">
        <f>"FT173045YBXP|103"</f>
        <v>FT173045YBXP|103</v>
      </c>
      <c r="D363" t="s">
        <v>895</v>
      </c>
      <c r="F363" s="1">
        <v>18656.689999999999</v>
      </c>
      <c r="G363" s="1">
        <v>-140497.64000000001</v>
      </c>
    </row>
    <row r="364" spans="1:7" x14ac:dyDescent="0.25">
      <c r="A364" s="2">
        <v>43039</v>
      </c>
      <c r="B364" s="2">
        <v>43039</v>
      </c>
      <c r="C364" t="str">
        <f>"S06730310E7501|103"</f>
        <v>S06730310E7501|103</v>
      </c>
      <c r="D364" t="s">
        <v>896</v>
      </c>
      <c r="F364" s="1">
        <v>4283</v>
      </c>
      <c r="G364" s="1">
        <v>-136214.64000000001</v>
      </c>
    </row>
    <row r="365" spans="1:7" x14ac:dyDescent="0.25">
      <c r="A365" s="2">
        <v>43039</v>
      </c>
      <c r="B365" s="2">
        <v>43039</v>
      </c>
      <c r="C365" t="str">
        <f>"F51030570013000|103"</f>
        <v>F51030570013000|103</v>
      </c>
      <c r="D365" t="s">
        <v>897</v>
      </c>
      <c r="F365" s="1">
        <v>12723</v>
      </c>
      <c r="G365" s="1">
        <v>-123491.64</v>
      </c>
    </row>
    <row r="366" spans="1:7" x14ac:dyDescent="0.25">
      <c r="A366" s="2">
        <v>43039</v>
      </c>
      <c r="B366" s="2">
        <v>43039</v>
      </c>
      <c r="C366" t="str">
        <f>"C398541OCP103017|103"</f>
        <v>C398541OCP103017|103</v>
      </c>
      <c r="D366" t="s">
        <v>898</v>
      </c>
      <c r="F366" s="1">
        <v>900000</v>
      </c>
      <c r="G366" s="1">
        <v>776508.36</v>
      </c>
    </row>
    <row r="367" spans="1:7" x14ac:dyDescent="0.25">
      <c r="A367" s="2">
        <v>43039</v>
      </c>
      <c r="B367" s="2">
        <v>43039</v>
      </c>
      <c r="C367" t="str">
        <f>"0001200231101711510059275"</f>
        <v>0001200231101711510059275</v>
      </c>
      <c r="D367" t="s">
        <v>899</v>
      </c>
      <c r="E367">
        <v>528.29</v>
      </c>
      <c r="G367" s="1">
        <v>775980.07</v>
      </c>
    </row>
    <row r="368" spans="1:7" x14ac:dyDescent="0.25">
      <c r="A368" s="2">
        <v>43039</v>
      </c>
      <c r="B368" s="2">
        <v>43039</v>
      </c>
      <c r="C368" t="str">
        <f>"00000000"</f>
        <v>00000000</v>
      </c>
      <c r="D368" t="s">
        <v>900</v>
      </c>
      <c r="F368">
        <v>297</v>
      </c>
      <c r="G368" s="1">
        <v>776277.07</v>
      </c>
    </row>
    <row r="369" spans="1:7" x14ac:dyDescent="0.25">
      <c r="A369" s="2">
        <v>43039</v>
      </c>
      <c r="B369" s="2">
        <v>43039</v>
      </c>
      <c r="C369" t="str">
        <f>"00000000"</f>
        <v>00000000</v>
      </c>
      <c r="D369" t="s">
        <v>901</v>
      </c>
      <c r="F369">
        <v>348</v>
      </c>
      <c r="G369" s="1">
        <v>776625.07</v>
      </c>
    </row>
    <row r="370" spans="1:7" x14ac:dyDescent="0.25">
      <c r="A370" s="2">
        <v>43039</v>
      </c>
      <c r="B370" s="2">
        <v>43039</v>
      </c>
      <c r="C370" t="str">
        <f>"00000000"</f>
        <v>00000000</v>
      </c>
      <c r="D370" t="s">
        <v>902</v>
      </c>
      <c r="F370" s="1">
        <v>7796</v>
      </c>
      <c r="G370" s="1">
        <v>784421.07</v>
      </c>
    </row>
    <row r="371" spans="1:7" x14ac:dyDescent="0.25">
      <c r="A371" s="2">
        <v>43039</v>
      </c>
      <c r="B371" s="2">
        <v>43039</v>
      </c>
      <c r="C371" t="str">
        <f>"0001200231101713140059430"</f>
        <v>0001200231101713140059430</v>
      </c>
      <c r="D371" t="s">
        <v>903</v>
      </c>
      <c r="E371" s="1">
        <v>9200</v>
      </c>
      <c r="G371" s="1">
        <v>775221.07</v>
      </c>
    </row>
    <row r="372" spans="1:7" x14ac:dyDescent="0.25">
      <c r="A372" s="2">
        <v>43039</v>
      </c>
      <c r="B372" s="2">
        <v>43039</v>
      </c>
      <c r="C372" t="str">
        <f>"0001202031101714170037128"</f>
        <v>0001202031101714170037128</v>
      </c>
      <c r="D372" t="s">
        <v>904</v>
      </c>
      <c r="F372" s="1">
        <v>1155</v>
      </c>
      <c r="G372" s="1">
        <v>776376.07</v>
      </c>
    </row>
    <row r="373" spans="1:7" x14ac:dyDescent="0.25">
      <c r="A373" s="2">
        <v>43039</v>
      </c>
      <c r="B373" s="2">
        <v>43039</v>
      </c>
      <c r="C373" t="str">
        <f>"993110MOAB06"</f>
        <v>993110MOAB06</v>
      </c>
      <c r="D373" t="s">
        <v>905</v>
      </c>
      <c r="F373">
        <v>924.5</v>
      </c>
      <c r="G373" s="1">
        <v>777300.57</v>
      </c>
    </row>
    <row r="374" spans="1:7" x14ac:dyDescent="0.25">
      <c r="A374" s="2">
        <v>43039</v>
      </c>
      <c r="B374" s="2">
        <v>43039</v>
      </c>
      <c r="C374" t="str">
        <f>"998ORTG173040100|103"</f>
        <v>998ORTG173040100|103</v>
      </c>
      <c r="D374" t="s">
        <v>906</v>
      </c>
      <c r="F374" s="1">
        <v>1456</v>
      </c>
      <c r="G374" s="1">
        <v>778756.57</v>
      </c>
    </row>
    <row r="375" spans="1:7" x14ac:dyDescent="0.25">
      <c r="A375" s="2">
        <v>43039</v>
      </c>
      <c r="B375" s="2">
        <v>43039</v>
      </c>
      <c r="C375" t="str">
        <f>"FT17304J825H|103"</f>
        <v>FT17304J825H|103</v>
      </c>
      <c r="D375" t="s">
        <v>907</v>
      </c>
      <c r="F375" s="1">
        <v>5177</v>
      </c>
      <c r="G375" s="1">
        <v>783933.57</v>
      </c>
    </row>
    <row r="376" spans="1:7" x14ac:dyDescent="0.25">
      <c r="A376" s="2">
        <v>43039</v>
      </c>
      <c r="B376" s="2">
        <v>43039</v>
      </c>
      <c r="C376" t="str">
        <f>"FT17304KT0VG|103"</f>
        <v>FT17304KT0VG|103</v>
      </c>
      <c r="D376" t="s">
        <v>908</v>
      </c>
      <c r="F376" s="1">
        <v>2103</v>
      </c>
      <c r="G376" s="1">
        <v>786036.57</v>
      </c>
    </row>
    <row r="377" spans="1:7" x14ac:dyDescent="0.25">
      <c r="A377" s="2">
        <v>43039</v>
      </c>
      <c r="B377" s="2">
        <v>43039</v>
      </c>
      <c r="C377" t="str">
        <f>"0001200231101715590059689"</f>
        <v>0001200231101715590059689</v>
      </c>
      <c r="D377" t="s">
        <v>110</v>
      </c>
      <c r="F377">
        <v>30</v>
      </c>
      <c r="G377" s="1">
        <v>786066.57</v>
      </c>
    </row>
    <row r="378" spans="1:7" x14ac:dyDescent="0.25">
      <c r="A378" s="2">
        <v>43039</v>
      </c>
      <c r="B378" s="2">
        <v>43039</v>
      </c>
      <c r="C378" t="str">
        <f>"0001203931101719320108812"</f>
        <v>0001203931101719320108812</v>
      </c>
      <c r="D378" t="s">
        <v>110</v>
      </c>
      <c r="F378">
        <v>14</v>
      </c>
      <c r="G378" s="1">
        <v>786080.57</v>
      </c>
    </row>
    <row r="379" spans="1:7" x14ac:dyDescent="0.25">
      <c r="A379" s="2">
        <v>43039</v>
      </c>
      <c r="B379" s="2">
        <v>43039</v>
      </c>
      <c r="C379" t="str">
        <f>"0001203931101719320108813"</f>
        <v>0001203931101719320108813</v>
      </c>
      <c r="D379" t="s">
        <v>110</v>
      </c>
      <c r="F379">
        <v>836</v>
      </c>
      <c r="G379" s="1">
        <v>786916.57</v>
      </c>
    </row>
    <row r="380" spans="1:7" x14ac:dyDescent="0.25">
      <c r="A380" s="2">
        <v>43040</v>
      </c>
      <c r="B380" s="2">
        <v>43039</v>
      </c>
      <c r="C380" t="str">
        <f>"INT:2017-10-31"</f>
        <v>INT:2017-10-31</v>
      </c>
      <c r="D380" t="s">
        <v>909</v>
      </c>
      <c r="E380">
        <v>41.51</v>
      </c>
      <c r="G380" s="1">
        <v>786875.06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95"/>
  <sheetViews>
    <sheetView topLeftCell="A393" workbookViewId="0">
      <selection activeCell="E160" sqref="E160"/>
    </sheetView>
  </sheetViews>
  <sheetFormatPr defaultRowHeight="15" x14ac:dyDescent="0.25"/>
  <cols>
    <col min="1" max="1" width="19.7109375" customWidth="1"/>
    <col min="2" max="2" width="15.42578125" bestFit="1" customWidth="1"/>
    <col min="3" max="3" width="26.5703125" bestFit="1" customWidth="1"/>
    <col min="4" max="4" width="95" bestFit="1" customWidth="1"/>
    <col min="5" max="5" width="11.7109375" bestFit="1" customWidth="1"/>
    <col min="7" max="7" width="11.7109375" bestFit="1" customWidth="1"/>
  </cols>
  <sheetData>
    <row r="3" spans="1:7" x14ac:dyDescent="0.25">
      <c r="B3" t="s">
        <v>0</v>
      </c>
    </row>
    <row r="7" spans="1:7" x14ac:dyDescent="0.25">
      <c r="A7" t="s">
        <v>1</v>
      </c>
      <c r="B7">
        <v>107347</v>
      </c>
    </row>
    <row r="8" spans="1:7" x14ac:dyDescent="0.25">
      <c r="A8" t="s">
        <v>2</v>
      </c>
      <c r="B8" t="str">
        <f>"02020010734700"</f>
        <v>02020010734700</v>
      </c>
    </row>
    <row r="9" spans="1:7" x14ac:dyDescent="0.25">
      <c r="A9" t="s">
        <v>3</v>
      </c>
      <c r="B9" t="s">
        <v>4</v>
      </c>
    </row>
    <row r="10" spans="1:7" x14ac:dyDescent="0.25">
      <c r="A10" t="s">
        <v>5</v>
      </c>
      <c r="B10" s="1">
        <v>169764.23</v>
      </c>
    </row>
    <row r="11" spans="1:7" x14ac:dyDescent="0.25">
      <c r="A11" t="s">
        <v>6</v>
      </c>
      <c r="B11" s="1">
        <v>151726.23000000001</v>
      </c>
    </row>
    <row r="14" spans="1:7" x14ac:dyDescent="0.25">
      <c r="A14" t="s">
        <v>910</v>
      </c>
    </row>
    <row r="16" spans="1:7" x14ac:dyDescent="0.25">
      <c r="A16" t="s">
        <v>8</v>
      </c>
      <c r="B16" t="s">
        <v>9</v>
      </c>
      <c r="C16" t="s">
        <v>10</v>
      </c>
      <c r="D16" t="s">
        <v>11</v>
      </c>
      <c r="E16" t="s">
        <v>12</v>
      </c>
      <c r="F16" t="s">
        <v>13</v>
      </c>
      <c r="G16" t="s">
        <v>14</v>
      </c>
    </row>
    <row r="17" spans="1:7" x14ac:dyDescent="0.25">
      <c r="A17" s="2">
        <v>43040</v>
      </c>
      <c r="B17" s="2">
        <v>43040</v>
      </c>
      <c r="C17" t="str">
        <f>"00106971  "</f>
        <v xml:space="preserve">00106971  </v>
      </c>
      <c r="D17" t="s">
        <v>911</v>
      </c>
      <c r="E17" s="1">
        <v>7428</v>
      </c>
      <c r="G17" s="1">
        <v>779447.06</v>
      </c>
    </row>
    <row r="18" spans="1:7" x14ac:dyDescent="0.25">
      <c r="A18" s="2">
        <v>43040</v>
      </c>
      <c r="B18" s="2">
        <v>43040</v>
      </c>
      <c r="C18" t="str">
        <f>"00000000"</f>
        <v>00000000</v>
      </c>
      <c r="D18" t="s">
        <v>912</v>
      </c>
      <c r="F18">
        <v>610</v>
      </c>
      <c r="G18" s="1">
        <v>780057.06</v>
      </c>
    </row>
    <row r="19" spans="1:7" x14ac:dyDescent="0.25">
      <c r="A19" s="2">
        <v>43040</v>
      </c>
      <c r="B19" s="2">
        <v>43040</v>
      </c>
      <c r="C19" t="str">
        <f>"990111FNOB02"</f>
        <v>990111FNOB02</v>
      </c>
      <c r="D19" t="s">
        <v>821</v>
      </c>
      <c r="F19" s="1">
        <v>2150</v>
      </c>
      <c r="G19" s="1">
        <v>782207.06</v>
      </c>
    </row>
    <row r="20" spans="1:7" x14ac:dyDescent="0.25">
      <c r="A20" s="2">
        <v>43040</v>
      </c>
      <c r="B20" s="2">
        <v>43040</v>
      </c>
      <c r="C20" t="str">
        <f>"0001209901111711290573907"</f>
        <v>0001209901111711290573907</v>
      </c>
      <c r="D20" t="s">
        <v>913</v>
      </c>
      <c r="E20" s="1">
        <v>2508</v>
      </c>
      <c r="G20" s="1">
        <v>779699.06</v>
      </c>
    </row>
    <row r="21" spans="1:7" x14ac:dyDescent="0.25">
      <c r="A21" s="2">
        <v>43040</v>
      </c>
      <c r="B21" s="2">
        <v>43040</v>
      </c>
      <c r="C21" t="str">
        <f>"0001209901111711290573907"</f>
        <v>0001209901111711290573907</v>
      </c>
      <c r="D21" t="s">
        <v>248</v>
      </c>
      <c r="E21">
        <v>14.44</v>
      </c>
      <c r="G21" s="1">
        <v>779684.62</v>
      </c>
    </row>
    <row r="22" spans="1:7" x14ac:dyDescent="0.25">
      <c r="A22" s="2">
        <v>43040</v>
      </c>
      <c r="B22" s="2">
        <v>43040</v>
      </c>
      <c r="C22" t="str">
        <f>"0001209901111711290573907"</f>
        <v>0001209901111711290573907</v>
      </c>
      <c r="D22" t="s">
        <v>249</v>
      </c>
      <c r="E22">
        <v>1.44</v>
      </c>
      <c r="G22" s="1">
        <v>779683.18</v>
      </c>
    </row>
    <row r="23" spans="1:7" x14ac:dyDescent="0.25">
      <c r="A23" s="2">
        <v>43040</v>
      </c>
      <c r="B23" s="2">
        <v>43040</v>
      </c>
      <c r="C23" t="str">
        <f>"0001209901111711350573910"</f>
        <v>0001209901111711350573910</v>
      </c>
      <c r="D23" t="s">
        <v>914</v>
      </c>
      <c r="E23" s="1">
        <v>80000</v>
      </c>
      <c r="G23" s="1">
        <v>699683.18</v>
      </c>
    </row>
    <row r="24" spans="1:7" x14ac:dyDescent="0.25">
      <c r="A24" s="2">
        <v>43040</v>
      </c>
      <c r="B24" s="2">
        <v>43040</v>
      </c>
      <c r="C24" t="str">
        <f>"0001209901111711350573910"</f>
        <v>0001209901111711350573910</v>
      </c>
      <c r="D24" t="s">
        <v>307</v>
      </c>
      <c r="E24">
        <v>4.82</v>
      </c>
      <c r="G24" s="1">
        <v>699678.37</v>
      </c>
    </row>
    <row r="25" spans="1:7" x14ac:dyDescent="0.25">
      <c r="A25" s="2">
        <v>43040</v>
      </c>
      <c r="B25" s="2">
        <v>43040</v>
      </c>
      <c r="C25" t="str">
        <f>"0001209901111711350573910"</f>
        <v>0001209901111711350573910</v>
      </c>
      <c r="D25" t="s">
        <v>249</v>
      </c>
      <c r="E25">
        <v>0.48</v>
      </c>
      <c r="G25" s="1">
        <v>699677.89</v>
      </c>
    </row>
    <row r="26" spans="1:7" x14ac:dyDescent="0.25">
      <c r="A26" s="2">
        <v>43040</v>
      </c>
      <c r="B26" s="2">
        <v>43040</v>
      </c>
      <c r="C26" t="str">
        <f>"0001209901111711390573912"</f>
        <v>0001209901111711390573912</v>
      </c>
      <c r="D26" t="s">
        <v>915</v>
      </c>
      <c r="E26">
        <v>895</v>
      </c>
      <c r="G26" s="1">
        <v>698782.89</v>
      </c>
    </row>
    <row r="27" spans="1:7" x14ac:dyDescent="0.25">
      <c r="A27" s="2">
        <v>43040</v>
      </c>
      <c r="B27" s="2">
        <v>43040</v>
      </c>
      <c r="C27" t="str">
        <f>"0001209901111711390573912"</f>
        <v>0001209901111711390573912</v>
      </c>
      <c r="D27" t="s">
        <v>248</v>
      </c>
      <c r="E27">
        <v>14.44</v>
      </c>
      <c r="G27" s="1">
        <v>698768.45</v>
      </c>
    </row>
    <row r="28" spans="1:7" x14ac:dyDescent="0.25">
      <c r="A28" s="2">
        <v>43040</v>
      </c>
      <c r="B28" s="2">
        <v>43040</v>
      </c>
      <c r="C28" t="str">
        <f>"0001209901111711390573912"</f>
        <v>0001209901111711390573912</v>
      </c>
      <c r="D28" t="s">
        <v>249</v>
      </c>
      <c r="E28">
        <v>1.44</v>
      </c>
      <c r="G28" s="1">
        <v>698767.01</v>
      </c>
    </row>
    <row r="29" spans="1:7" x14ac:dyDescent="0.25">
      <c r="A29" s="2">
        <v>43040</v>
      </c>
      <c r="B29" s="2">
        <v>43040</v>
      </c>
      <c r="C29" t="str">
        <f>"F61031022149001|103"</f>
        <v>F61031022149001|103</v>
      </c>
      <c r="D29" t="s">
        <v>916</v>
      </c>
      <c r="F29" s="1">
        <v>3655</v>
      </c>
      <c r="G29" s="1">
        <v>702422.01</v>
      </c>
    </row>
    <row r="30" spans="1:7" x14ac:dyDescent="0.25">
      <c r="A30" s="2">
        <v>43040</v>
      </c>
      <c r="B30" s="2">
        <v>43040</v>
      </c>
      <c r="C30" t="str">
        <f>"F61031022149001|103"</f>
        <v>F61031022149001|103</v>
      </c>
      <c r="D30" t="s">
        <v>917</v>
      </c>
      <c r="E30">
        <v>10</v>
      </c>
      <c r="G30" s="1">
        <v>702412.01</v>
      </c>
    </row>
    <row r="31" spans="1:7" x14ac:dyDescent="0.25">
      <c r="A31" s="2">
        <v>43040</v>
      </c>
      <c r="B31" s="2">
        <v>43040</v>
      </c>
      <c r="C31" t="str">
        <f>"FT17304NMKDN|103"</f>
        <v>FT17304NMKDN|103</v>
      </c>
      <c r="D31" t="s">
        <v>918</v>
      </c>
      <c r="F31" s="1">
        <v>12570</v>
      </c>
      <c r="G31" s="1">
        <v>714982.01</v>
      </c>
    </row>
    <row r="32" spans="1:7" x14ac:dyDescent="0.25">
      <c r="A32" s="2">
        <v>43040</v>
      </c>
      <c r="B32" s="2">
        <v>43040</v>
      </c>
      <c r="C32" t="str">
        <f>"3730500751|103"</f>
        <v>3730500751|103</v>
      </c>
      <c r="D32" t="s">
        <v>919</v>
      </c>
      <c r="F32" s="1">
        <v>292117.3</v>
      </c>
      <c r="G32" s="1">
        <v>1007099.31</v>
      </c>
    </row>
    <row r="33" spans="1:7" x14ac:dyDescent="0.25">
      <c r="A33" s="2">
        <v>43040</v>
      </c>
      <c r="B33" s="2">
        <v>43040</v>
      </c>
      <c r="C33" t="str">
        <f>"0001200201111715570060577"</f>
        <v>0001200201111715570060577</v>
      </c>
      <c r="D33" t="s">
        <v>110</v>
      </c>
      <c r="F33">
        <v>30</v>
      </c>
      <c r="G33" s="1">
        <v>1007129.31</v>
      </c>
    </row>
    <row r="34" spans="1:7" x14ac:dyDescent="0.25">
      <c r="A34" s="2">
        <v>43040</v>
      </c>
      <c r="B34" s="2">
        <v>43040</v>
      </c>
      <c r="C34" t="str">
        <f>"0001200201111716080060610"</f>
        <v>0001200201111716080060610</v>
      </c>
      <c r="D34" t="s">
        <v>110</v>
      </c>
      <c r="F34">
        <v>530</v>
      </c>
      <c r="G34" s="1">
        <v>1007659.31</v>
      </c>
    </row>
    <row r="35" spans="1:7" x14ac:dyDescent="0.25">
      <c r="A35" s="2">
        <v>43040</v>
      </c>
      <c r="B35" s="2">
        <v>43040</v>
      </c>
      <c r="C35" t="str">
        <f>"3730501903|103"</f>
        <v>3730501903|103</v>
      </c>
      <c r="D35" t="s">
        <v>920</v>
      </c>
      <c r="F35" s="1">
        <v>2088</v>
      </c>
      <c r="G35" s="1">
        <v>1009747.31</v>
      </c>
    </row>
    <row r="36" spans="1:7" x14ac:dyDescent="0.25">
      <c r="A36" s="2">
        <v>43040</v>
      </c>
      <c r="B36" s="2">
        <v>43040</v>
      </c>
      <c r="C36" t="str">
        <f t="shared" ref="C36:C44" si="0">"990111TBMA04"</f>
        <v>990111TBMA04</v>
      </c>
      <c r="D36" t="s">
        <v>921</v>
      </c>
      <c r="E36">
        <v>1</v>
      </c>
      <c r="G36" s="1">
        <v>1009746.31</v>
      </c>
    </row>
    <row r="37" spans="1:7" x14ac:dyDescent="0.25">
      <c r="A37" s="2">
        <v>43040</v>
      </c>
      <c r="B37" s="2">
        <v>43040</v>
      </c>
      <c r="C37" t="str">
        <f t="shared" si="0"/>
        <v>990111TBMA04</v>
      </c>
      <c r="D37" t="s">
        <v>922</v>
      </c>
      <c r="E37">
        <v>1</v>
      </c>
      <c r="G37" s="1">
        <v>1009745.31</v>
      </c>
    </row>
    <row r="38" spans="1:7" x14ac:dyDescent="0.25">
      <c r="A38" s="2">
        <v>43040</v>
      </c>
      <c r="B38" s="2">
        <v>43040</v>
      </c>
      <c r="C38" t="str">
        <f t="shared" si="0"/>
        <v>990111TBMA04</v>
      </c>
      <c r="D38" t="s">
        <v>923</v>
      </c>
      <c r="F38" s="1">
        <v>13449</v>
      </c>
      <c r="G38" s="1">
        <v>1023194.31</v>
      </c>
    </row>
    <row r="39" spans="1:7" x14ac:dyDescent="0.25">
      <c r="A39" s="2">
        <v>43040</v>
      </c>
      <c r="B39" s="2">
        <v>43040</v>
      </c>
      <c r="C39" t="str">
        <f t="shared" si="0"/>
        <v>990111TBMA04</v>
      </c>
      <c r="D39" t="s">
        <v>923</v>
      </c>
      <c r="E39">
        <v>1</v>
      </c>
      <c r="G39" s="1">
        <v>1023193.31</v>
      </c>
    </row>
    <row r="40" spans="1:7" x14ac:dyDescent="0.25">
      <c r="A40" s="2">
        <v>43040</v>
      </c>
      <c r="B40" s="2">
        <v>43040</v>
      </c>
      <c r="C40" t="str">
        <f t="shared" si="0"/>
        <v>990111TBMA04</v>
      </c>
      <c r="D40" t="s">
        <v>923</v>
      </c>
      <c r="E40">
        <v>10</v>
      </c>
      <c r="G40" s="1">
        <v>1023183.31</v>
      </c>
    </row>
    <row r="41" spans="1:7" x14ac:dyDescent="0.25">
      <c r="A41" s="2">
        <v>43040</v>
      </c>
      <c r="B41" s="2">
        <v>43040</v>
      </c>
      <c r="C41" t="str">
        <f t="shared" si="0"/>
        <v>990111TBMA04</v>
      </c>
      <c r="D41" t="s">
        <v>922</v>
      </c>
      <c r="F41" s="1">
        <v>7263.47</v>
      </c>
      <c r="G41" s="1">
        <v>1030446.78</v>
      </c>
    </row>
    <row r="42" spans="1:7" x14ac:dyDescent="0.25">
      <c r="A42" s="2">
        <v>43040</v>
      </c>
      <c r="B42" s="2">
        <v>43040</v>
      </c>
      <c r="C42" t="str">
        <f t="shared" si="0"/>
        <v>990111TBMA04</v>
      </c>
      <c r="D42" t="s">
        <v>921</v>
      </c>
      <c r="E42">
        <v>10</v>
      </c>
      <c r="G42" s="1">
        <v>1030436.78</v>
      </c>
    </row>
    <row r="43" spans="1:7" x14ac:dyDescent="0.25">
      <c r="A43" s="2">
        <v>43040</v>
      </c>
      <c r="B43" s="2">
        <v>43040</v>
      </c>
      <c r="C43" t="str">
        <f t="shared" si="0"/>
        <v>990111TBMA04</v>
      </c>
      <c r="D43" t="s">
        <v>921</v>
      </c>
      <c r="F43" s="1">
        <v>26269.74</v>
      </c>
      <c r="G43" s="1">
        <v>1056706.52</v>
      </c>
    </row>
    <row r="44" spans="1:7" x14ac:dyDescent="0.25">
      <c r="A44" s="2">
        <v>43040</v>
      </c>
      <c r="B44" s="2">
        <v>43040</v>
      </c>
      <c r="C44" t="str">
        <f t="shared" si="0"/>
        <v>990111TBMA04</v>
      </c>
      <c r="D44" t="s">
        <v>922</v>
      </c>
      <c r="E44">
        <v>10</v>
      </c>
      <c r="G44" s="1">
        <v>1056696.52</v>
      </c>
    </row>
    <row r="45" spans="1:7" x14ac:dyDescent="0.25">
      <c r="A45" s="2">
        <v>43041</v>
      </c>
      <c r="B45" s="2">
        <v>43041</v>
      </c>
      <c r="C45" t="str">
        <f>"0001200302111709380134844"</f>
        <v>0001200302111709380134844</v>
      </c>
      <c r="D45" t="s">
        <v>924</v>
      </c>
      <c r="F45">
        <v>400</v>
      </c>
      <c r="G45" s="1">
        <v>1057096.52</v>
      </c>
    </row>
    <row r="46" spans="1:7" x14ac:dyDescent="0.25">
      <c r="A46" s="2">
        <v>43041</v>
      </c>
      <c r="B46" s="2">
        <v>43041</v>
      </c>
      <c r="C46" t="str">
        <f>"FT17305B785S|103"</f>
        <v>FT17305B785S|103</v>
      </c>
      <c r="D46" t="s">
        <v>925</v>
      </c>
      <c r="F46" s="1">
        <v>5843</v>
      </c>
      <c r="G46" s="1">
        <v>1062939.52</v>
      </c>
    </row>
    <row r="47" spans="1:7" x14ac:dyDescent="0.25">
      <c r="A47" s="2">
        <v>43041</v>
      </c>
      <c r="B47" s="2">
        <v>43041</v>
      </c>
      <c r="C47" t="str">
        <f>"SE07801711020814|103"</f>
        <v>SE07801711020814|103</v>
      </c>
      <c r="D47" t="s">
        <v>926</v>
      </c>
      <c r="F47" s="1">
        <v>6217</v>
      </c>
      <c r="G47" s="1">
        <v>1069156.52</v>
      </c>
    </row>
    <row r="48" spans="1:7" x14ac:dyDescent="0.25">
      <c r="A48" s="2">
        <v>43041</v>
      </c>
      <c r="B48" s="2">
        <v>43041</v>
      </c>
      <c r="C48" t="str">
        <f>"SE07801711020818|103"</f>
        <v>SE07801711020818|103</v>
      </c>
      <c r="D48" t="s">
        <v>927</v>
      </c>
      <c r="F48" s="1">
        <v>3385</v>
      </c>
      <c r="G48" s="1">
        <v>1072541.52</v>
      </c>
    </row>
    <row r="49" spans="1:7" x14ac:dyDescent="0.25">
      <c r="A49" s="2">
        <v>43041</v>
      </c>
      <c r="B49" s="2">
        <v>43041</v>
      </c>
      <c r="C49" t="str">
        <f>"3730601079|103"</f>
        <v>3730601079|103</v>
      </c>
      <c r="D49" t="s">
        <v>928</v>
      </c>
      <c r="F49" s="1">
        <v>3437</v>
      </c>
      <c r="G49" s="1">
        <v>1075978.52</v>
      </c>
    </row>
    <row r="50" spans="1:7" x14ac:dyDescent="0.25">
      <c r="A50" s="2">
        <v>43041</v>
      </c>
      <c r="B50" s="2">
        <v>43041</v>
      </c>
      <c r="C50" t="str">
        <f>"3730601220|103"</f>
        <v>3730601220|103</v>
      </c>
      <c r="D50" t="s">
        <v>929</v>
      </c>
      <c r="F50" s="1">
        <v>1304</v>
      </c>
      <c r="G50" s="1">
        <v>1077282.52</v>
      </c>
    </row>
    <row r="51" spans="1:7" x14ac:dyDescent="0.25">
      <c r="A51" s="2">
        <v>43041</v>
      </c>
      <c r="B51" s="2">
        <v>43041</v>
      </c>
      <c r="C51" t="str">
        <f>"3730601221|103"</f>
        <v>3730601221|103</v>
      </c>
      <c r="D51" t="s">
        <v>930</v>
      </c>
      <c r="F51">
        <v>943</v>
      </c>
      <c r="G51" s="1">
        <v>1078225.52</v>
      </c>
    </row>
    <row r="52" spans="1:7" x14ac:dyDescent="0.25">
      <c r="A52" s="2">
        <v>43041</v>
      </c>
      <c r="B52" s="2">
        <v>43041</v>
      </c>
      <c r="C52" t="str">
        <f>"FT17306Y1Z00|103"</f>
        <v>FT17306Y1Z00|103</v>
      </c>
      <c r="D52" t="s">
        <v>931</v>
      </c>
      <c r="F52" s="1">
        <v>1880</v>
      </c>
      <c r="G52" s="1">
        <v>1080105.52</v>
      </c>
    </row>
    <row r="53" spans="1:7" x14ac:dyDescent="0.25">
      <c r="A53" s="2">
        <v>43041</v>
      </c>
      <c r="B53" s="2">
        <v>43041</v>
      </c>
      <c r="C53" t="str">
        <f>"0001200202111715440061702"</f>
        <v>0001200202111715440061702</v>
      </c>
      <c r="D53" t="s">
        <v>110</v>
      </c>
      <c r="F53">
        <v>920</v>
      </c>
      <c r="G53" s="1">
        <v>1081025.52</v>
      </c>
    </row>
    <row r="54" spans="1:7" x14ac:dyDescent="0.25">
      <c r="A54" s="2">
        <v>43041</v>
      </c>
      <c r="B54" s="2">
        <v>43041</v>
      </c>
      <c r="C54" t="str">
        <f>"00000000"</f>
        <v>00000000</v>
      </c>
      <c r="D54" t="s">
        <v>932</v>
      </c>
      <c r="F54">
        <v>110</v>
      </c>
      <c r="G54" s="1">
        <v>1081135.52</v>
      </c>
    </row>
    <row r="55" spans="1:7" x14ac:dyDescent="0.25">
      <c r="A55" s="2">
        <v>43041</v>
      </c>
      <c r="B55" s="2">
        <v>43041</v>
      </c>
      <c r="C55" t="str">
        <f>"00000000"</f>
        <v>00000000</v>
      </c>
      <c r="D55" t="s">
        <v>933</v>
      </c>
      <c r="F55" s="1">
        <v>8717</v>
      </c>
      <c r="G55" s="1">
        <v>1089852.52</v>
      </c>
    </row>
    <row r="56" spans="1:7" x14ac:dyDescent="0.25">
      <c r="A56" s="2">
        <v>43041</v>
      </c>
      <c r="B56" s="2">
        <v>43041</v>
      </c>
      <c r="C56" t="str">
        <f>"00000000"</f>
        <v>00000000</v>
      </c>
      <c r="D56" t="s">
        <v>934</v>
      </c>
      <c r="F56" s="1">
        <v>9840</v>
      </c>
      <c r="G56" s="1">
        <v>1099692.52</v>
      </c>
    </row>
    <row r="57" spans="1:7" x14ac:dyDescent="0.25">
      <c r="A57" s="2">
        <v>43041</v>
      </c>
      <c r="B57" s="2">
        <v>43041</v>
      </c>
      <c r="C57" t="str">
        <f>"00000000"</f>
        <v>00000000</v>
      </c>
      <c r="D57" t="s">
        <v>935</v>
      </c>
      <c r="F57" s="1">
        <v>5117</v>
      </c>
      <c r="G57" s="1">
        <v>1104809.52</v>
      </c>
    </row>
    <row r="58" spans="1:7" x14ac:dyDescent="0.25">
      <c r="A58" s="2">
        <v>43041</v>
      </c>
      <c r="B58" s="2">
        <v>43041</v>
      </c>
      <c r="C58" t="str">
        <f>"990211TBMA01"</f>
        <v>990211TBMA01</v>
      </c>
      <c r="D58" t="s">
        <v>936</v>
      </c>
      <c r="F58" s="1">
        <v>31407.53</v>
      </c>
      <c r="G58" s="1">
        <v>1136217.05</v>
      </c>
    </row>
    <row r="59" spans="1:7" x14ac:dyDescent="0.25">
      <c r="A59" s="2">
        <v>43041</v>
      </c>
      <c r="B59" s="2">
        <v>43041</v>
      </c>
      <c r="C59" t="str">
        <f>"990211TBMA01"</f>
        <v>990211TBMA01</v>
      </c>
      <c r="D59" t="s">
        <v>936</v>
      </c>
      <c r="E59">
        <v>10</v>
      </c>
      <c r="G59" s="1">
        <v>1136207.05</v>
      </c>
    </row>
    <row r="60" spans="1:7" x14ac:dyDescent="0.25">
      <c r="A60" s="2">
        <v>43041</v>
      </c>
      <c r="B60" s="2">
        <v>43041</v>
      </c>
      <c r="C60" t="str">
        <f>"990211TBMA01"</f>
        <v>990211TBMA01</v>
      </c>
      <c r="D60" t="s">
        <v>936</v>
      </c>
      <c r="E60">
        <v>1</v>
      </c>
      <c r="G60" s="1">
        <v>1136206.05</v>
      </c>
    </row>
    <row r="61" spans="1:7" x14ac:dyDescent="0.25">
      <c r="A61" s="2">
        <v>43041</v>
      </c>
      <c r="B61" s="2">
        <v>43041</v>
      </c>
      <c r="C61" t="str">
        <f>"CMRTG1730600369|103"</f>
        <v>CMRTG1730600369|103</v>
      </c>
      <c r="D61" t="s">
        <v>937</v>
      </c>
      <c r="F61" s="1">
        <v>2003</v>
      </c>
      <c r="G61" s="1">
        <v>1138209.05</v>
      </c>
    </row>
    <row r="62" spans="1:7" x14ac:dyDescent="0.25">
      <c r="A62" s="2">
        <v>43041</v>
      </c>
      <c r="B62" s="2">
        <v>43041</v>
      </c>
      <c r="C62" t="str">
        <f>"0001203902111717480113405"</f>
        <v>0001203902111717480113405</v>
      </c>
      <c r="D62" t="s">
        <v>938</v>
      </c>
      <c r="F62">
        <v>23</v>
      </c>
      <c r="G62" s="1">
        <v>1138232.05</v>
      </c>
    </row>
    <row r="63" spans="1:7" x14ac:dyDescent="0.25">
      <c r="A63" s="2">
        <v>43042</v>
      </c>
      <c r="B63" s="2">
        <v>43042</v>
      </c>
      <c r="C63" t="str">
        <f>"00106869  "</f>
        <v xml:space="preserve">00106869  </v>
      </c>
      <c r="D63" t="s">
        <v>939</v>
      </c>
      <c r="E63" s="1">
        <v>5160.8999999999996</v>
      </c>
      <c r="G63" s="1">
        <v>1133071.1499999999</v>
      </c>
    </row>
    <row r="64" spans="1:7" x14ac:dyDescent="0.25">
      <c r="A64" s="2">
        <v>43042</v>
      </c>
      <c r="B64" s="2">
        <v>43042</v>
      </c>
      <c r="C64" t="str">
        <f>"0001200203111711050062239"</f>
        <v>0001200203111711050062239</v>
      </c>
      <c r="D64" t="s">
        <v>211</v>
      </c>
      <c r="E64" s="1">
        <v>4217</v>
      </c>
      <c r="G64" s="1">
        <v>1128854.1499999999</v>
      </c>
    </row>
    <row r="65" spans="1:7" x14ac:dyDescent="0.25">
      <c r="A65" s="2">
        <v>43042</v>
      </c>
      <c r="B65" s="2">
        <v>43042</v>
      </c>
      <c r="C65" t="str">
        <f>"998ORTG173070031|103"</f>
        <v>998ORTG173070031|103</v>
      </c>
      <c r="D65" t="s">
        <v>940</v>
      </c>
      <c r="F65">
        <v>60</v>
      </c>
      <c r="G65" s="1">
        <v>1128914.1499999999</v>
      </c>
    </row>
    <row r="66" spans="1:7" x14ac:dyDescent="0.25">
      <c r="A66" s="2">
        <v>43042</v>
      </c>
      <c r="B66" s="2">
        <v>43042</v>
      </c>
      <c r="C66" t="str">
        <f>"3730701317|103"</f>
        <v>3730701317|103</v>
      </c>
      <c r="D66" t="s">
        <v>941</v>
      </c>
      <c r="F66" s="1">
        <v>5096</v>
      </c>
      <c r="G66" s="1">
        <v>1134010.1499999999</v>
      </c>
    </row>
    <row r="67" spans="1:7" x14ac:dyDescent="0.25">
      <c r="A67" s="2">
        <v>43042</v>
      </c>
      <c r="B67" s="2">
        <v>43042</v>
      </c>
      <c r="C67" t="str">
        <f>"998ORTG173070030|103"</f>
        <v>998ORTG173070030|103</v>
      </c>
      <c r="D67" t="s">
        <v>942</v>
      </c>
      <c r="F67" s="1">
        <v>6349</v>
      </c>
      <c r="G67" s="1">
        <v>1140359.1499999999</v>
      </c>
    </row>
    <row r="68" spans="1:7" x14ac:dyDescent="0.25">
      <c r="A68" s="2">
        <v>43042</v>
      </c>
      <c r="B68" s="2">
        <v>43042</v>
      </c>
      <c r="C68" t="str">
        <f>"998ORTG173070029|103"</f>
        <v>998ORTG173070029|103</v>
      </c>
      <c r="D68" t="s">
        <v>943</v>
      </c>
      <c r="F68">
        <v>230</v>
      </c>
      <c r="G68" s="1">
        <v>1140589.1499999999</v>
      </c>
    </row>
    <row r="69" spans="1:7" x14ac:dyDescent="0.25">
      <c r="A69" s="2">
        <v>43042</v>
      </c>
      <c r="B69" s="2">
        <v>43042</v>
      </c>
      <c r="C69" t="str">
        <f>"S06730710F8701|103"</f>
        <v>S06730710F8701|103</v>
      </c>
      <c r="D69" t="s">
        <v>944</v>
      </c>
      <c r="F69" s="1">
        <v>3360</v>
      </c>
      <c r="G69" s="1">
        <v>1143949.1499999999</v>
      </c>
    </row>
    <row r="70" spans="1:7" x14ac:dyDescent="0.25">
      <c r="A70" s="2">
        <v>43042</v>
      </c>
      <c r="B70" s="2">
        <v>43042</v>
      </c>
      <c r="C70" t="str">
        <f>"0001200203111715360062803"</f>
        <v>0001200203111715360062803</v>
      </c>
      <c r="D70" t="s">
        <v>110</v>
      </c>
      <c r="F70" s="1">
        <v>1560</v>
      </c>
      <c r="G70" s="1">
        <v>1145509.1499999999</v>
      </c>
    </row>
    <row r="71" spans="1:7" x14ac:dyDescent="0.25">
      <c r="A71" s="2">
        <v>43042</v>
      </c>
      <c r="B71" s="2">
        <v>43042</v>
      </c>
      <c r="C71" t="str">
        <f>"0001200203111715370062804"</f>
        <v>0001200203111715370062804</v>
      </c>
      <c r="D71" t="s">
        <v>110</v>
      </c>
      <c r="F71">
        <v>840</v>
      </c>
      <c r="G71" s="1">
        <v>1146349.1499999999</v>
      </c>
    </row>
    <row r="72" spans="1:7" x14ac:dyDescent="0.25">
      <c r="A72" s="2">
        <v>43042</v>
      </c>
      <c r="B72" s="2">
        <v>43042</v>
      </c>
      <c r="C72" t="str">
        <f>"FT17306G4638|103"</f>
        <v>FT17306G4638|103</v>
      </c>
      <c r="D72" t="s">
        <v>945</v>
      </c>
      <c r="F72">
        <v>609</v>
      </c>
      <c r="G72" s="1">
        <v>1146958.1499999999</v>
      </c>
    </row>
    <row r="73" spans="1:7" x14ac:dyDescent="0.25">
      <c r="A73" s="2">
        <v>43042</v>
      </c>
      <c r="B73" s="2">
        <v>43042</v>
      </c>
      <c r="C73" t="str">
        <f>"0001209903111716400575180"</f>
        <v>0001209903111716400575180</v>
      </c>
      <c r="D73" t="s">
        <v>946</v>
      </c>
      <c r="E73" s="1">
        <v>2149.9899999999998</v>
      </c>
      <c r="G73" s="1">
        <v>1145262.1599999999</v>
      </c>
    </row>
    <row r="74" spans="1:7" x14ac:dyDescent="0.25">
      <c r="A74" s="2">
        <v>43042</v>
      </c>
      <c r="B74" s="2">
        <v>43042</v>
      </c>
      <c r="C74" t="str">
        <f>"0001209903111716400575180"</f>
        <v>0001209903111716400575180</v>
      </c>
      <c r="D74" t="s">
        <v>248</v>
      </c>
      <c r="E74">
        <v>14.46</v>
      </c>
      <c r="G74" s="1">
        <v>1145247.7</v>
      </c>
    </row>
    <row r="75" spans="1:7" x14ac:dyDescent="0.25">
      <c r="A75" s="2">
        <v>43042</v>
      </c>
      <c r="B75" s="2">
        <v>43042</v>
      </c>
      <c r="C75" t="str">
        <f>"0001209903111716400575180"</f>
        <v>0001209903111716400575180</v>
      </c>
      <c r="D75" t="s">
        <v>249</v>
      </c>
      <c r="E75">
        <v>1.45</v>
      </c>
      <c r="G75" s="1">
        <v>1145246.25</v>
      </c>
    </row>
    <row r="76" spans="1:7" x14ac:dyDescent="0.25">
      <c r="A76" s="2">
        <v>43042</v>
      </c>
      <c r="B76" s="2">
        <v>43042</v>
      </c>
      <c r="C76" t="str">
        <f>"998ORTG173070028|103"</f>
        <v>998ORTG173070028|103</v>
      </c>
      <c r="D76" t="s">
        <v>947</v>
      </c>
      <c r="F76" s="1">
        <v>18654</v>
      </c>
      <c r="G76" s="1">
        <v>1163900.25</v>
      </c>
    </row>
    <row r="77" spans="1:7" x14ac:dyDescent="0.25">
      <c r="A77" s="2">
        <v>43042</v>
      </c>
      <c r="B77" s="2">
        <v>43042</v>
      </c>
      <c r="C77" t="str">
        <f t="shared" ref="C77:C84" si="1">"00000000"</f>
        <v>00000000</v>
      </c>
      <c r="D77" t="s">
        <v>948</v>
      </c>
      <c r="E77">
        <v>1</v>
      </c>
      <c r="G77" s="1">
        <v>1163899.25</v>
      </c>
    </row>
    <row r="78" spans="1:7" x14ac:dyDescent="0.25">
      <c r="A78" s="2">
        <v>43042</v>
      </c>
      <c r="B78" s="2">
        <v>43042</v>
      </c>
      <c r="C78" t="str">
        <f t="shared" si="1"/>
        <v>00000000</v>
      </c>
      <c r="D78" t="s">
        <v>949</v>
      </c>
      <c r="E78">
        <v>1</v>
      </c>
      <c r="G78" s="1">
        <v>1163898.25</v>
      </c>
    </row>
    <row r="79" spans="1:7" x14ac:dyDescent="0.25">
      <c r="A79" s="2">
        <v>43042</v>
      </c>
      <c r="B79" s="2">
        <v>43042</v>
      </c>
      <c r="C79" t="str">
        <f t="shared" si="1"/>
        <v>00000000</v>
      </c>
      <c r="D79" t="s">
        <v>950</v>
      </c>
      <c r="E79">
        <v>1</v>
      </c>
      <c r="G79" s="1">
        <v>1163897.25</v>
      </c>
    </row>
    <row r="80" spans="1:7" x14ac:dyDescent="0.25">
      <c r="A80" s="2">
        <v>43042</v>
      </c>
      <c r="B80" s="2">
        <v>43042</v>
      </c>
      <c r="C80" t="str">
        <f t="shared" si="1"/>
        <v>00000000</v>
      </c>
      <c r="D80" t="s">
        <v>951</v>
      </c>
      <c r="E80">
        <v>0.63</v>
      </c>
      <c r="G80" s="1">
        <v>1163896.6200000001</v>
      </c>
    </row>
    <row r="81" spans="1:7" x14ac:dyDescent="0.25">
      <c r="A81" s="2">
        <v>43042</v>
      </c>
      <c r="B81" s="2">
        <v>43042</v>
      </c>
      <c r="C81" t="str">
        <f t="shared" si="1"/>
        <v>00000000</v>
      </c>
      <c r="D81" t="s">
        <v>952</v>
      </c>
      <c r="E81">
        <v>0.67</v>
      </c>
      <c r="G81" s="1">
        <v>1163895.95</v>
      </c>
    </row>
    <row r="82" spans="1:7" x14ac:dyDescent="0.25">
      <c r="A82" s="2">
        <v>43042</v>
      </c>
      <c r="B82" s="2">
        <v>43042</v>
      </c>
      <c r="C82" t="str">
        <f t="shared" si="1"/>
        <v>00000000</v>
      </c>
      <c r="D82" t="s">
        <v>953</v>
      </c>
      <c r="E82">
        <v>0.4</v>
      </c>
      <c r="G82" s="1">
        <v>1163895.55</v>
      </c>
    </row>
    <row r="83" spans="1:7" x14ac:dyDescent="0.25">
      <c r="A83" s="2">
        <v>43042</v>
      </c>
      <c r="B83" s="2">
        <v>43042</v>
      </c>
      <c r="C83" t="str">
        <f t="shared" si="1"/>
        <v>00000000</v>
      </c>
      <c r="D83" t="s">
        <v>954</v>
      </c>
      <c r="E83">
        <v>0.72</v>
      </c>
      <c r="G83" s="1">
        <v>1163894.83</v>
      </c>
    </row>
    <row r="84" spans="1:7" x14ac:dyDescent="0.25">
      <c r="A84" s="2">
        <v>43042</v>
      </c>
      <c r="B84" s="2">
        <v>43042</v>
      </c>
      <c r="C84" t="str">
        <f t="shared" si="1"/>
        <v>00000000</v>
      </c>
      <c r="D84" t="s">
        <v>955</v>
      </c>
      <c r="E84">
        <v>1</v>
      </c>
      <c r="G84" s="1">
        <v>1163893.83</v>
      </c>
    </row>
    <row r="85" spans="1:7" x14ac:dyDescent="0.25">
      <c r="A85" s="2">
        <v>43043</v>
      </c>
      <c r="B85" s="2">
        <v>43043</v>
      </c>
      <c r="C85" t="str">
        <f>"0001200204111711080063274"</f>
        <v>0001200204111711080063274</v>
      </c>
      <c r="D85" t="s">
        <v>110</v>
      </c>
      <c r="F85" s="1">
        <v>7695</v>
      </c>
      <c r="G85" s="1">
        <v>1171588.83</v>
      </c>
    </row>
    <row r="86" spans="1:7" x14ac:dyDescent="0.25">
      <c r="A86" s="2">
        <v>43044</v>
      </c>
      <c r="B86" s="2">
        <v>43044</v>
      </c>
      <c r="C86" t="str">
        <f>"0001203905111715340118673"</f>
        <v>0001203905111715340118673</v>
      </c>
      <c r="D86" t="s">
        <v>956</v>
      </c>
      <c r="F86">
        <v>195</v>
      </c>
      <c r="G86" s="1">
        <v>1171783.83</v>
      </c>
    </row>
    <row r="87" spans="1:7" x14ac:dyDescent="0.25">
      <c r="A87" s="2">
        <v>43045</v>
      </c>
      <c r="B87" s="2">
        <v>43045</v>
      </c>
      <c r="C87" t="str">
        <f>"00000000"</f>
        <v>00000000</v>
      </c>
      <c r="D87" t="s">
        <v>957</v>
      </c>
      <c r="F87">
        <v>995</v>
      </c>
      <c r="G87" s="1">
        <v>1172778.83</v>
      </c>
    </row>
    <row r="88" spans="1:7" x14ac:dyDescent="0.25">
      <c r="A88" s="2">
        <v>43045</v>
      </c>
      <c r="B88" s="2">
        <v>43045</v>
      </c>
      <c r="C88" t="str">
        <f>"SE07801711060236|103"</f>
        <v>SE07801711060236|103</v>
      </c>
      <c r="D88" t="s">
        <v>958</v>
      </c>
      <c r="F88" s="1">
        <v>10762</v>
      </c>
      <c r="G88" s="1">
        <v>1183540.83</v>
      </c>
    </row>
    <row r="89" spans="1:7" x14ac:dyDescent="0.25">
      <c r="A89" s="2">
        <v>43045</v>
      </c>
      <c r="B89" s="2">
        <v>43045</v>
      </c>
      <c r="C89" t="str">
        <f>"0001200206111715590064387"</f>
        <v>0001200206111715590064387</v>
      </c>
      <c r="D89" t="s">
        <v>110</v>
      </c>
      <c r="F89">
        <v>255</v>
      </c>
      <c r="G89" s="1">
        <v>1183795.83</v>
      </c>
    </row>
    <row r="90" spans="1:7" x14ac:dyDescent="0.25">
      <c r="A90" s="2">
        <v>43045</v>
      </c>
      <c r="B90" s="2">
        <v>43045</v>
      </c>
      <c r="C90" t="str">
        <f>"0001200206111715590064389"</f>
        <v>0001200206111715590064389</v>
      </c>
      <c r="D90" t="s">
        <v>110</v>
      </c>
      <c r="F90">
        <v>93</v>
      </c>
      <c r="G90" s="1">
        <v>1183888.83</v>
      </c>
    </row>
    <row r="91" spans="1:7" x14ac:dyDescent="0.25">
      <c r="A91" s="2">
        <v>43045</v>
      </c>
      <c r="B91" s="2">
        <v>43045</v>
      </c>
      <c r="C91" t="str">
        <f>"0001200206111716000064390"</f>
        <v>0001200206111716000064390</v>
      </c>
      <c r="D91" t="s">
        <v>110</v>
      </c>
      <c r="F91">
        <v>46</v>
      </c>
      <c r="G91" s="1">
        <v>1183934.83</v>
      </c>
    </row>
    <row r="92" spans="1:7" x14ac:dyDescent="0.25">
      <c r="A92" s="2">
        <v>43045</v>
      </c>
      <c r="B92" s="2">
        <v>43045</v>
      </c>
      <c r="C92" t="str">
        <f>"0001200206111716000064391"</f>
        <v>0001200206111716000064391</v>
      </c>
      <c r="D92" t="s">
        <v>110</v>
      </c>
      <c r="F92">
        <v>150</v>
      </c>
      <c r="G92" s="1">
        <v>1184084.83</v>
      </c>
    </row>
    <row r="93" spans="1:7" x14ac:dyDescent="0.25">
      <c r="A93" s="2">
        <v>43046</v>
      </c>
      <c r="B93" s="2">
        <v>43046</v>
      </c>
      <c r="C93" t="str">
        <f>"00106901  "</f>
        <v xml:space="preserve">00106901  </v>
      </c>
      <c r="D93" t="s">
        <v>959</v>
      </c>
      <c r="E93">
        <v>360</v>
      </c>
      <c r="G93" s="1">
        <v>1184333.83</v>
      </c>
    </row>
    <row r="94" spans="1:7" x14ac:dyDescent="0.25">
      <c r="A94" s="2">
        <v>43046</v>
      </c>
      <c r="B94" s="2">
        <v>43046</v>
      </c>
      <c r="C94" t="str">
        <f>"SE07801711071386|103"</f>
        <v>SE07801711071386|103</v>
      </c>
      <c r="D94" t="s">
        <v>960</v>
      </c>
      <c r="F94" s="1">
        <v>29443</v>
      </c>
      <c r="G94" s="1">
        <v>1213776.83</v>
      </c>
    </row>
    <row r="95" spans="1:7" x14ac:dyDescent="0.25">
      <c r="A95" s="2">
        <v>43046</v>
      </c>
      <c r="B95" s="2">
        <v>43046</v>
      </c>
      <c r="C95" t="str">
        <f>"0001200207111715250065631"</f>
        <v>0001200207111715250065631</v>
      </c>
      <c r="D95" t="s">
        <v>110</v>
      </c>
      <c r="F95">
        <v>15</v>
      </c>
      <c r="G95" s="1">
        <v>1213791.83</v>
      </c>
    </row>
    <row r="96" spans="1:7" x14ac:dyDescent="0.25">
      <c r="A96" s="2">
        <v>43046</v>
      </c>
      <c r="B96" s="2">
        <v>43046</v>
      </c>
      <c r="C96" t="str">
        <f>"0001209907111715020576136"</f>
        <v>0001209907111715020576136</v>
      </c>
      <c r="D96" t="s">
        <v>961</v>
      </c>
      <c r="E96" s="1">
        <v>1575</v>
      </c>
      <c r="G96" s="1">
        <v>1222741.83</v>
      </c>
    </row>
    <row r="97" spans="1:7" x14ac:dyDescent="0.25">
      <c r="A97" s="2">
        <v>43046</v>
      </c>
      <c r="B97" s="2">
        <v>43046</v>
      </c>
      <c r="C97" t="str">
        <f>"0001209907111715020576136"</f>
        <v>0001209907111715020576136</v>
      </c>
      <c r="D97" t="s">
        <v>248</v>
      </c>
      <c r="E97">
        <v>14.47</v>
      </c>
      <c r="G97" s="1">
        <v>1222727.3600000001</v>
      </c>
    </row>
    <row r="98" spans="1:7" x14ac:dyDescent="0.25">
      <c r="A98" s="2">
        <v>43046</v>
      </c>
      <c r="B98" s="2">
        <v>43046</v>
      </c>
      <c r="C98" t="str">
        <f>"0001209907111715020576136"</f>
        <v>0001209907111715020576136</v>
      </c>
      <c r="D98" t="s">
        <v>249</v>
      </c>
      <c r="E98">
        <v>1.45</v>
      </c>
      <c r="G98" s="1">
        <v>1222725.9099999999</v>
      </c>
    </row>
    <row r="99" spans="1:7" x14ac:dyDescent="0.25">
      <c r="A99" s="2">
        <v>43046</v>
      </c>
      <c r="B99" s="2">
        <v>43046</v>
      </c>
      <c r="C99" t="str">
        <f>"SE07801711072980|103"</f>
        <v>SE07801711072980|103</v>
      </c>
      <c r="D99" t="s">
        <v>962</v>
      </c>
      <c r="F99" s="1">
        <v>7789</v>
      </c>
      <c r="G99" s="1">
        <v>1230514.9099999999</v>
      </c>
    </row>
    <row r="100" spans="1:7" x14ac:dyDescent="0.25">
      <c r="A100" s="2">
        <v>43047</v>
      </c>
      <c r="B100" s="2">
        <v>43047</v>
      </c>
      <c r="C100" t="str">
        <f>"0001200208111709210066100"</f>
        <v>0001200208111709210066100</v>
      </c>
      <c r="D100" t="s">
        <v>963</v>
      </c>
      <c r="E100" s="1">
        <v>10000</v>
      </c>
      <c r="G100" s="1">
        <v>1220514.9099999999</v>
      </c>
    </row>
    <row r="101" spans="1:7" x14ac:dyDescent="0.25">
      <c r="A101" s="2">
        <v>43047</v>
      </c>
      <c r="B101" s="2">
        <v>43047</v>
      </c>
      <c r="C101" t="str">
        <f>"2017110700089596|103"</f>
        <v>2017110700089596|103</v>
      </c>
      <c r="D101" t="s">
        <v>964</v>
      </c>
      <c r="E101">
        <v>4.7</v>
      </c>
      <c r="G101" s="1">
        <v>1220510.21</v>
      </c>
    </row>
    <row r="102" spans="1:7" x14ac:dyDescent="0.25">
      <c r="A102" s="2">
        <v>43047</v>
      </c>
      <c r="B102" s="2">
        <v>43047</v>
      </c>
      <c r="C102" t="str">
        <f>"2017110700089596|103"</f>
        <v>2017110700089596|103</v>
      </c>
      <c r="D102" t="s">
        <v>965</v>
      </c>
      <c r="F102">
        <v>470</v>
      </c>
      <c r="G102" s="1">
        <v>1220980.21</v>
      </c>
    </row>
    <row r="103" spans="1:7" x14ac:dyDescent="0.25">
      <c r="A103" s="2">
        <v>43047</v>
      </c>
      <c r="B103" s="2">
        <v>43047</v>
      </c>
      <c r="C103" t="str">
        <f>"SE07801711080060|103"</f>
        <v>SE07801711080060|103</v>
      </c>
      <c r="D103" t="s">
        <v>966</v>
      </c>
      <c r="F103" s="1">
        <v>14525</v>
      </c>
      <c r="G103" s="1">
        <v>1235505.21</v>
      </c>
    </row>
    <row r="104" spans="1:7" x14ac:dyDescent="0.25">
      <c r="A104" s="2">
        <v>43047</v>
      </c>
      <c r="B104" s="2">
        <v>43047</v>
      </c>
      <c r="C104" t="str">
        <f>"0001209908111711120576434"</f>
        <v>0001209908111711120576434</v>
      </c>
      <c r="D104" t="s">
        <v>967</v>
      </c>
      <c r="F104">
        <v>886.59</v>
      </c>
      <c r="G104" s="1">
        <v>1236391.8</v>
      </c>
    </row>
    <row r="105" spans="1:7" x14ac:dyDescent="0.25">
      <c r="A105" s="2">
        <v>43047</v>
      </c>
      <c r="B105" s="2">
        <v>43047</v>
      </c>
      <c r="C105" t="str">
        <f>"0001200208111715010067011"</f>
        <v>0001200208111715010067011</v>
      </c>
      <c r="D105" t="s">
        <v>110</v>
      </c>
      <c r="F105" s="1">
        <v>7430</v>
      </c>
      <c r="G105" s="1">
        <v>1243821.8</v>
      </c>
    </row>
    <row r="106" spans="1:7" x14ac:dyDescent="0.25">
      <c r="A106" s="2">
        <v>43047</v>
      </c>
      <c r="B106" s="2">
        <v>43047</v>
      </c>
      <c r="C106" t="str">
        <f>"00000000"</f>
        <v>00000000</v>
      </c>
      <c r="D106" t="s">
        <v>968</v>
      </c>
      <c r="E106">
        <v>1</v>
      </c>
      <c r="G106" s="1">
        <v>1256072.8</v>
      </c>
    </row>
    <row r="107" spans="1:7" x14ac:dyDescent="0.25">
      <c r="A107" s="2">
        <v>43047</v>
      </c>
      <c r="B107" s="2">
        <v>43047</v>
      </c>
      <c r="C107" t="str">
        <f>"00000000"</f>
        <v>00000000</v>
      </c>
      <c r="D107" t="s">
        <v>968</v>
      </c>
      <c r="E107">
        <v>10</v>
      </c>
      <c r="G107" s="1">
        <v>1256062.8</v>
      </c>
    </row>
    <row r="108" spans="1:7" x14ac:dyDescent="0.25">
      <c r="A108" s="2">
        <v>43047</v>
      </c>
      <c r="B108" s="2">
        <v>43047</v>
      </c>
      <c r="C108" t="str">
        <f>"00000000"</f>
        <v>00000000</v>
      </c>
      <c r="D108" t="s">
        <v>968</v>
      </c>
      <c r="F108" s="1">
        <v>5921</v>
      </c>
      <c r="G108" s="1">
        <v>1261983.8</v>
      </c>
    </row>
    <row r="109" spans="1:7" x14ac:dyDescent="0.25">
      <c r="A109" s="2">
        <v>43047</v>
      </c>
      <c r="B109" s="2">
        <v>43047</v>
      </c>
      <c r="C109" t="str">
        <f>"00000000"</f>
        <v>00000000</v>
      </c>
      <c r="D109" t="s">
        <v>969</v>
      </c>
      <c r="F109" s="1">
        <v>9162</v>
      </c>
      <c r="G109" s="1">
        <v>1271145.8</v>
      </c>
    </row>
    <row r="110" spans="1:7" x14ac:dyDescent="0.25">
      <c r="A110" s="2">
        <v>43047</v>
      </c>
      <c r="B110" s="2">
        <v>43047</v>
      </c>
      <c r="C110" t="str">
        <f>"00000000"</f>
        <v>00000000</v>
      </c>
      <c r="D110" t="s">
        <v>970</v>
      </c>
      <c r="F110" s="1">
        <v>1500</v>
      </c>
      <c r="G110" s="1">
        <v>1272645.8</v>
      </c>
    </row>
    <row r="111" spans="1:7" x14ac:dyDescent="0.25">
      <c r="A111" s="2">
        <v>43047</v>
      </c>
      <c r="B111" s="2">
        <v>43047</v>
      </c>
      <c r="C111" t="str">
        <f>"0640909312FF|103"</f>
        <v>0640909312FF|103</v>
      </c>
      <c r="D111" t="s">
        <v>971</v>
      </c>
      <c r="F111" s="1">
        <v>1055</v>
      </c>
      <c r="G111" s="1">
        <v>1273700.8</v>
      </c>
    </row>
    <row r="112" spans="1:7" x14ac:dyDescent="0.25">
      <c r="A112" s="2">
        <v>43047</v>
      </c>
      <c r="B112" s="2">
        <v>43047</v>
      </c>
      <c r="C112" t="str">
        <f>"CMRTG1731200232|103"</f>
        <v>CMRTG1731200232|103</v>
      </c>
      <c r="D112" t="s">
        <v>972</v>
      </c>
      <c r="F112" s="1">
        <v>2570</v>
      </c>
      <c r="G112" s="1">
        <v>1276270.8</v>
      </c>
    </row>
    <row r="113" spans="1:7" x14ac:dyDescent="0.25">
      <c r="A113" s="2">
        <v>43047</v>
      </c>
      <c r="B113" s="2">
        <v>43047</v>
      </c>
      <c r="C113" t="str">
        <f>"0640909312FF|103"</f>
        <v>0640909312FF|103</v>
      </c>
      <c r="D113" t="s">
        <v>973</v>
      </c>
      <c r="E113">
        <v>10</v>
      </c>
      <c r="G113" s="1">
        <v>1276260.8</v>
      </c>
    </row>
    <row r="114" spans="1:7" x14ac:dyDescent="0.25">
      <c r="A114" s="2">
        <v>43048</v>
      </c>
      <c r="B114" s="2">
        <v>43048</v>
      </c>
      <c r="C114" t="str">
        <f>"00106917  "</f>
        <v xml:space="preserve">00106917  </v>
      </c>
      <c r="D114" t="s">
        <v>974</v>
      </c>
      <c r="E114" s="1">
        <v>8286</v>
      </c>
      <c r="G114" s="1">
        <v>1267974.8</v>
      </c>
    </row>
    <row r="115" spans="1:7" x14ac:dyDescent="0.25">
      <c r="A115" s="2">
        <v>43048</v>
      </c>
      <c r="B115" s="2">
        <v>43048</v>
      </c>
      <c r="C115" t="str">
        <f>"00106888  "</f>
        <v xml:space="preserve">00106888  </v>
      </c>
      <c r="D115" t="s">
        <v>975</v>
      </c>
      <c r="E115" s="1">
        <v>3661.1</v>
      </c>
      <c r="G115" s="1">
        <v>1264313.7</v>
      </c>
    </row>
    <row r="116" spans="1:7" x14ac:dyDescent="0.25">
      <c r="A116" s="2">
        <v>43048</v>
      </c>
      <c r="B116" s="2">
        <v>43048</v>
      </c>
      <c r="C116" t="str">
        <f>"00000000"</f>
        <v>00000000</v>
      </c>
      <c r="D116" t="s">
        <v>976</v>
      </c>
      <c r="E116">
        <v>1</v>
      </c>
      <c r="G116" s="1">
        <v>1264312.7</v>
      </c>
    </row>
    <row r="117" spans="1:7" x14ac:dyDescent="0.25">
      <c r="A117" s="2">
        <v>43048</v>
      </c>
      <c r="B117" s="2">
        <v>43048</v>
      </c>
      <c r="C117" t="str">
        <f>"00000000"</f>
        <v>00000000</v>
      </c>
      <c r="D117" t="s">
        <v>977</v>
      </c>
      <c r="E117">
        <v>0.47</v>
      </c>
      <c r="G117" s="1">
        <v>1264312.23</v>
      </c>
    </row>
    <row r="118" spans="1:7" x14ac:dyDescent="0.25">
      <c r="A118" s="2">
        <v>43048</v>
      </c>
      <c r="B118" s="2">
        <v>43048</v>
      </c>
      <c r="C118" t="str">
        <f>"FT17312ZGX9X|103"</f>
        <v>FT17312ZGX9X|103</v>
      </c>
      <c r="D118" t="s">
        <v>978</v>
      </c>
      <c r="F118" s="1">
        <v>1580</v>
      </c>
      <c r="G118" s="1">
        <v>1265892.23</v>
      </c>
    </row>
    <row r="119" spans="1:7" x14ac:dyDescent="0.25">
      <c r="A119" s="2">
        <v>43048</v>
      </c>
      <c r="B119" s="2">
        <v>43048</v>
      </c>
      <c r="C119" t="str">
        <f>"3731202146|103"</f>
        <v>3731202146|103</v>
      </c>
      <c r="D119" t="s">
        <v>979</v>
      </c>
      <c r="F119">
        <v>460</v>
      </c>
      <c r="G119" s="1">
        <v>1266352.23</v>
      </c>
    </row>
    <row r="120" spans="1:7" x14ac:dyDescent="0.25">
      <c r="A120" s="2">
        <v>43048</v>
      </c>
      <c r="B120" s="2">
        <v>43048</v>
      </c>
      <c r="C120" t="str">
        <f>"3731300426|103"</f>
        <v>3731300426|103</v>
      </c>
      <c r="D120" t="s">
        <v>980</v>
      </c>
      <c r="F120" s="1">
        <v>10835</v>
      </c>
      <c r="G120" s="1">
        <v>1277187.23</v>
      </c>
    </row>
    <row r="121" spans="1:7" x14ac:dyDescent="0.25">
      <c r="A121" s="2">
        <v>43048</v>
      </c>
      <c r="B121" s="2">
        <v>43048</v>
      </c>
      <c r="C121" t="str">
        <f>"0001200209111715040068623"</f>
        <v>0001200209111715040068623</v>
      </c>
      <c r="D121" t="s">
        <v>211</v>
      </c>
      <c r="E121" s="1">
        <v>1506</v>
      </c>
      <c r="G121" s="1">
        <v>1275681.23</v>
      </c>
    </row>
    <row r="122" spans="1:7" x14ac:dyDescent="0.25">
      <c r="A122" s="2">
        <v>43048</v>
      </c>
      <c r="B122" s="2">
        <v>43048</v>
      </c>
      <c r="C122" t="str">
        <f>"0001200209111716130068836"</f>
        <v>0001200209111716130068836</v>
      </c>
      <c r="D122" t="s">
        <v>110</v>
      </c>
      <c r="F122">
        <v>225</v>
      </c>
      <c r="G122" s="1">
        <v>1275906.23</v>
      </c>
    </row>
    <row r="123" spans="1:7" x14ac:dyDescent="0.25">
      <c r="A123" s="2">
        <v>43048</v>
      </c>
      <c r="B123" s="2">
        <v>43048</v>
      </c>
      <c r="C123" t="str">
        <f>"0001200209111716130068838"</f>
        <v>0001200209111716130068838</v>
      </c>
      <c r="D123" t="s">
        <v>110</v>
      </c>
      <c r="F123" s="1">
        <v>1720</v>
      </c>
      <c r="G123" s="1">
        <v>1277626.23</v>
      </c>
    </row>
    <row r="124" spans="1:7" x14ac:dyDescent="0.25">
      <c r="A124" s="2">
        <v>43048</v>
      </c>
      <c r="B124" s="2">
        <v>43048</v>
      </c>
      <c r="C124" t="str">
        <f>"00000000"</f>
        <v>00000000</v>
      </c>
      <c r="D124" t="s">
        <v>981</v>
      </c>
      <c r="F124" s="1">
        <v>2376</v>
      </c>
      <c r="G124" s="1">
        <v>1280002.23</v>
      </c>
    </row>
    <row r="125" spans="1:7" x14ac:dyDescent="0.25">
      <c r="A125" s="2">
        <v>43048</v>
      </c>
      <c r="B125" s="2">
        <v>43048</v>
      </c>
      <c r="C125" t="str">
        <f>"00000000"</f>
        <v>00000000</v>
      </c>
      <c r="D125" t="s">
        <v>982</v>
      </c>
      <c r="F125" s="1">
        <v>4644</v>
      </c>
      <c r="G125" s="1">
        <v>1284646.23</v>
      </c>
    </row>
    <row r="126" spans="1:7" x14ac:dyDescent="0.25">
      <c r="A126" s="2">
        <v>43048</v>
      </c>
      <c r="B126" s="2">
        <v>43048</v>
      </c>
      <c r="C126" t="str">
        <f>"0001209909111716330577102"</f>
        <v>0001209909111716330577102</v>
      </c>
      <c r="D126" t="s">
        <v>983</v>
      </c>
      <c r="E126" s="1">
        <v>1825.99</v>
      </c>
      <c r="G126" s="1">
        <v>1282820.24</v>
      </c>
    </row>
    <row r="127" spans="1:7" x14ac:dyDescent="0.25">
      <c r="A127" s="2">
        <v>43048</v>
      </c>
      <c r="B127" s="2">
        <v>43048</v>
      </c>
      <c r="C127" t="str">
        <f>"0001209909111716330577102"</f>
        <v>0001209909111716330577102</v>
      </c>
      <c r="D127" t="s">
        <v>248</v>
      </c>
      <c r="E127">
        <v>14.49</v>
      </c>
      <c r="G127" s="1">
        <v>1282805.75</v>
      </c>
    </row>
    <row r="128" spans="1:7" x14ac:dyDescent="0.25">
      <c r="A128" s="2">
        <v>43048</v>
      </c>
      <c r="B128" s="2">
        <v>43048</v>
      </c>
      <c r="C128" t="str">
        <f>"0001209909111716330577102"</f>
        <v>0001209909111716330577102</v>
      </c>
      <c r="D128" t="s">
        <v>249</v>
      </c>
      <c r="E128">
        <v>1.45</v>
      </c>
      <c r="G128" s="1">
        <v>1282804.3</v>
      </c>
    </row>
    <row r="129" spans="1:7" x14ac:dyDescent="0.25">
      <c r="A129" s="2">
        <v>43048</v>
      </c>
      <c r="B129" s="2">
        <v>43048</v>
      </c>
      <c r="C129" t="str">
        <f>"SE07801711093728|103"</f>
        <v>SE07801711093728|103</v>
      </c>
      <c r="D129" t="s">
        <v>984</v>
      </c>
      <c r="F129" s="1">
        <v>20053</v>
      </c>
      <c r="G129" s="1">
        <v>1302857.3</v>
      </c>
    </row>
    <row r="130" spans="1:7" x14ac:dyDescent="0.25">
      <c r="A130" s="2">
        <v>43048</v>
      </c>
      <c r="B130" s="2">
        <v>43048</v>
      </c>
      <c r="C130" t="str">
        <f>"013RTGS173130006|103"</f>
        <v>013RTGS173130006|103</v>
      </c>
      <c r="D130" t="s">
        <v>985</v>
      </c>
      <c r="F130">
        <v>244</v>
      </c>
      <c r="G130" s="1">
        <v>1303101.3</v>
      </c>
    </row>
    <row r="131" spans="1:7" x14ac:dyDescent="0.25">
      <c r="A131" s="2">
        <v>43048</v>
      </c>
      <c r="B131" s="2">
        <v>43048</v>
      </c>
      <c r="C131" t="str">
        <f>"FT17313396NQ|103"</f>
        <v>FT17313396NQ|103</v>
      </c>
      <c r="D131" t="s">
        <v>986</v>
      </c>
      <c r="F131" s="1">
        <v>23784</v>
      </c>
      <c r="G131" s="1">
        <v>1326885.3</v>
      </c>
    </row>
    <row r="132" spans="1:7" x14ac:dyDescent="0.25">
      <c r="A132" s="2">
        <v>43049</v>
      </c>
      <c r="B132" s="2">
        <v>43049</v>
      </c>
      <c r="C132" t="str">
        <f>"0001200210111709440069258"</f>
        <v>0001200210111709440069258</v>
      </c>
      <c r="D132" t="s">
        <v>987</v>
      </c>
      <c r="E132" s="1">
        <v>1660</v>
      </c>
      <c r="G132" s="1">
        <v>1325225.3</v>
      </c>
    </row>
    <row r="133" spans="1:7" x14ac:dyDescent="0.25">
      <c r="A133" s="2">
        <v>43049</v>
      </c>
      <c r="B133" s="2">
        <v>43049</v>
      </c>
      <c r="C133" t="str">
        <f>"0001200210111712190069554"</f>
        <v>0001200210111712190069554</v>
      </c>
      <c r="D133" t="s">
        <v>211</v>
      </c>
      <c r="E133" s="1">
        <v>6490</v>
      </c>
      <c r="G133" s="1">
        <v>1318735.3</v>
      </c>
    </row>
    <row r="134" spans="1:7" x14ac:dyDescent="0.25">
      <c r="A134" s="2">
        <v>43049</v>
      </c>
      <c r="B134" s="2">
        <v>43049</v>
      </c>
      <c r="C134" t="str">
        <f>"2017110900084783|103"</f>
        <v>2017110900084783|103</v>
      </c>
      <c r="D134" t="s">
        <v>988</v>
      </c>
      <c r="F134">
        <v>145</v>
      </c>
      <c r="G134" s="1">
        <v>1318880.3</v>
      </c>
    </row>
    <row r="135" spans="1:7" x14ac:dyDescent="0.25">
      <c r="A135" s="2">
        <v>43049</v>
      </c>
      <c r="B135" s="2">
        <v>43049</v>
      </c>
      <c r="C135" t="str">
        <f>"C519106OCP110917|103"</f>
        <v>C519106OCP110917|103</v>
      </c>
      <c r="D135" t="s">
        <v>989</v>
      </c>
      <c r="F135" s="1">
        <v>600000</v>
      </c>
      <c r="G135" s="1">
        <v>1918880.3</v>
      </c>
    </row>
    <row r="136" spans="1:7" x14ac:dyDescent="0.25">
      <c r="A136" s="2">
        <v>43049</v>
      </c>
      <c r="B136" s="2">
        <v>43049</v>
      </c>
      <c r="C136" t="str">
        <f>"HBKG17K09O496464|103"</f>
        <v>HBKG17K09O496464|103</v>
      </c>
      <c r="D136" t="s">
        <v>990</v>
      </c>
      <c r="F136" s="1">
        <v>3515</v>
      </c>
      <c r="G136" s="1">
        <v>1922395.3</v>
      </c>
    </row>
    <row r="137" spans="1:7" x14ac:dyDescent="0.25">
      <c r="A137" s="2">
        <v>43049</v>
      </c>
      <c r="B137" s="2">
        <v>43049</v>
      </c>
      <c r="C137" t="str">
        <f>"3731400958|103"</f>
        <v>3731400958|103</v>
      </c>
      <c r="D137" t="s">
        <v>991</v>
      </c>
      <c r="F137" s="1">
        <v>11272</v>
      </c>
      <c r="G137" s="1">
        <v>1933667.3</v>
      </c>
    </row>
    <row r="138" spans="1:7" x14ac:dyDescent="0.25">
      <c r="A138" s="2">
        <v>43049</v>
      </c>
      <c r="B138" s="2">
        <v>43049</v>
      </c>
      <c r="C138" t="str">
        <f>"FT17314XL8L9|103"</f>
        <v>FT17314XL8L9|103</v>
      </c>
      <c r="D138" t="s">
        <v>992</v>
      </c>
      <c r="F138" s="1">
        <v>1171</v>
      </c>
      <c r="G138" s="1">
        <v>1934838.3</v>
      </c>
    </row>
    <row r="139" spans="1:7" x14ac:dyDescent="0.25">
      <c r="A139" s="2">
        <v>43049</v>
      </c>
      <c r="B139" s="2">
        <v>43049</v>
      </c>
      <c r="C139" t="str">
        <f>"SE07801711100310|103"</f>
        <v>SE07801711100310|103</v>
      </c>
      <c r="D139" t="s">
        <v>993</v>
      </c>
      <c r="F139" s="1">
        <v>1760</v>
      </c>
      <c r="G139" s="1">
        <v>1936598.3</v>
      </c>
    </row>
    <row r="140" spans="1:7" x14ac:dyDescent="0.25">
      <c r="A140" s="2">
        <v>43049</v>
      </c>
      <c r="B140" s="2">
        <v>43049</v>
      </c>
      <c r="C140" t="str">
        <f>"998ORTG173140014|103"</f>
        <v>998ORTG173140014|103</v>
      </c>
      <c r="D140" t="s">
        <v>994</v>
      </c>
      <c r="F140" s="1">
        <v>9272</v>
      </c>
      <c r="G140" s="1">
        <v>1945870.3</v>
      </c>
    </row>
    <row r="141" spans="1:7" x14ac:dyDescent="0.25">
      <c r="A141" s="2">
        <v>43049</v>
      </c>
      <c r="B141" s="2">
        <v>43049</v>
      </c>
      <c r="C141" t="str">
        <f>"3731400924|103"</f>
        <v>3731400924|103</v>
      </c>
      <c r="D141" t="s">
        <v>995</v>
      </c>
      <c r="F141" s="1">
        <v>1729</v>
      </c>
      <c r="G141" s="1">
        <v>1947599.3</v>
      </c>
    </row>
    <row r="142" spans="1:7" x14ac:dyDescent="0.25">
      <c r="A142" s="2">
        <v>43049</v>
      </c>
      <c r="B142" s="2">
        <v>43049</v>
      </c>
      <c r="C142" t="str">
        <f>"3731400963|103"</f>
        <v>3731400963|103</v>
      </c>
      <c r="D142" t="s">
        <v>996</v>
      </c>
      <c r="F142" s="1">
        <v>2044</v>
      </c>
      <c r="G142" s="1">
        <v>1949643.3</v>
      </c>
    </row>
    <row r="143" spans="1:7" x14ac:dyDescent="0.25">
      <c r="A143" s="2">
        <v>43049</v>
      </c>
      <c r="B143" s="2">
        <v>43049</v>
      </c>
      <c r="C143" t="str">
        <f>"3731400970|103"</f>
        <v>3731400970|103</v>
      </c>
      <c r="D143" t="s">
        <v>997</v>
      </c>
      <c r="F143" s="1">
        <v>7805</v>
      </c>
      <c r="G143" s="1">
        <v>1957448.3</v>
      </c>
    </row>
    <row r="144" spans="1:7" x14ac:dyDescent="0.25">
      <c r="A144" s="2">
        <v>43049</v>
      </c>
      <c r="B144" s="2">
        <v>43049</v>
      </c>
      <c r="C144" t="str">
        <f>"3731400166|103"</f>
        <v>3731400166|103</v>
      </c>
      <c r="D144" t="s">
        <v>998</v>
      </c>
      <c r="F144" s="1">
        <v>6477</v>
      </c>
      <c r="G144" s="1">
        <v>1963925.3</v>
      </c>
    </row>
    <row r="145" spans="1:7" x14ac:dyDescent="0.25">
      <c r="A145" s="2">
        <v>43049</v>
      </c>
      <c r="B145" s="2">
        <v>43049</v>
      </c>
      <c r="C145" t="str">
        <f>"998ORTG173140023|103"</f>
        <v>998ORTG173140023|103</v>
      </c>
      <c r="D145" t="s">
        <v>999</v>
      </c>
      <c r="F145">
        <v>40</v>
      </c>
      <c r="G145" s="1">
        <v>1963965.3</v>
      </c>
    </row>
    <row r="146" spans="1:7" x14ac:dyDescent="0.25">
      <c r="A146" s="2">
        <v>43049</v>
      </c>
      <c r="B146" s="2">
        <v>43049</v>
      </c>
      <c r="C146" t="str">
        <f>"C519106OCP110917|103"</f>
        <v>C519106OCP110917|103</v>
      </c>
      <c r="D146" t="s">
        <v>1000</v>
      </c>
      <c r="E146">
        <v>10</v>
      </c>
      <c r="G146" s="1">
        <v>1963955.3</v>
      </c>
    </row>
    <row r="147" spans="1:7" x14ac:dyDescent="0.25">
      <c r="A147" s="2">
        <v>43049</v>
      </c>
      <c r="B147" s="2">
        <v>43049</v>
      </c>
      <c r="C147" t="str">
        <f>"2017110900084783|103"</f>
        <v>2017110900084783|103</v>
      </c>
      <c r="D147" t="s">
        <v>1001</v>
      </c>
      <c r="E147">
        <v>4</v>
      </c>
      <c r="G147" s="1">
        <v>1963951.3</v>
      </c>
    </row>
    <row r="148" spans="1:7" x14ac:dyDescent="0.25">
      <c r="A148" s="2">
        <v>43049</v>
      </c>
      <c r="B148" s="2">
        <v>43049</v>
      </c>
      <c r="C148" t="str">
        <f>"0001209910111714590577357"</f>
        <v>0001209910111714590577357</v>
      </c>
      <c r="D148" t="s">
        <v>1002</v>
      </c>
      <c r="E148" s="1">
        <v>8159.41</v>
      </c>
      <c r="G148" s="1">
        <v>1955791.89</v>
      </c>
    </row>
    <row r="149" spans="1:7" x14ac:dyDescent="0.25">
      <c r="A149" s="2">
        <v>43049</v>
      </c>
      <c r="B149" s="2">
        <v>43049</v>
      </c>
      <c r="C149" t="str">
        <f>"0001209910111714590577357"</f>
        <v>0001209910111714590577357</v>
      </c>
      <c r="D149" t="s">
        <v>248</v>
      </c>
      <c r="E149">
        <v>14.48</v>
      </c>
      <c r="G149" s="1">
        <v>1955777.41</v>
      </c>
    </row>
    <row r="150" spans="1:7" x14ac:dyDescent="0.25">
      <c r="A150" s="2">
        <v>43049</v>
      </c>
      <c r="B150" s="2">
        <v>43049</v>
      </c>
      <c r="C150" t="str">
        <f>"0001209910111714590577357"</f>
        <v>0001209910111714590577357</v>
      </c>
      <c r="D150" t="s">
        <v>249</v>
      </c>
      <c r="E150">
        <v>1.45</v>
      </c>
      <c r="G150" s="1">
        <v>1955775.96</v>
      </c>
    </row>
    <row r="151" spans="1:7" x14ac:dyDescent="0.25">
      <c r="A151" s="2">
        <v>43049</v>
      </c>
      <c r="B151" s="2">
        <v>43049</v>
      </c>
      <c r="C151" t="str">
        <f>"0001200210111715290069901"</f>
        <v>0001200210111715290069901</v>
      </c>
      <c r="D151" t="s">
        <v>110</v>
      </c>
      <c r="F151">
        <v>268</v>
      </c>
      <c r="G151" s="1">
        <v>1956043.96</v>
      </c>
    </row>
    <row r="152" spans="1:7" x14ac:dyDescent="0.25">
      <c r="A152" s="2">
        <v>43049</v>
      </c>
      <c r="B152" s="2">
        <v>43049</v>
      </c>
      <c r="C152" t="str">
        <f>"0001200210111715290069904"</f>
        <v>0001200210111715290069904</v>
      </c>
      <c r="D152" t="s">
        <v>110</v>
      </c>
      <c r="F152">
        <v>930</v>
      </c>
      <c r="G152" s="1">
        <v>1956973.96</v>
      </c>
    </row>
    <row r="153" spans="1:7" x14ac:dyDescent="0.25">
      <c r="A153" s="2">
        <v>43049</v>
      </c>
      <c r="B153" s="2">
        <v>43049</v>
      </c>
      <c r="C153" t="str">
        <f>"0001200210111715300069905"</f>
        <v>0001200210111715300069905</v>
      </c>
      <c r="D153" t="s">
        <v>110</v>
      </c>
      <c r="F153">
        <v>90</v>
      </c>
      <c r="G153" s="1">
        <v>1957063.96</v>
      </c>
    </row>
    <row r="154" spans="1:7" x14ac:dyDescent="0.25">
      <c r="A154" s="2">
        <v>43049</v>
      </c>
      <c r="B154" s="2">
        <v>43049</v>
      </c>
      <c r="C154" t="str">
        <f>"3731401177|103"</f>
        <v>3731401177|103</v>
      </c>
      <c r="D154" t="s">
        <v>1003</v>
      </c>
      <c r="F154" s="1">
        <v>3785</v>
      </c>
      <c r="G154" s="1">
        <v>1961933.96</v>
      </c>
    </row>
    <row r="155" spans="1:7" x14ac:dyDescent="0.25">
      <c r="A155" s="2">
        <v>43049</v>
      </c>
      <c r="B155" s="2">
        <v>43049</v>
      </c>
      <c r="C155" t="str">
        <f>"0001209910111715180577400"</f>
        <v>0001209910111715180577400</v>
      </c>
      <c r="D155" t="s">
        <v>1004</v>
      </c>
      <c r="E155">
        <v>587.99</v>
      </c>
      <c r="G155" s="1">
        <v>1961345.97</v>
      </c>
    </row>
    <row r="156" spans="1:7" x14ac:dyDescent="0.25">
      <c r="A156" s="2">
        <v>43049</v>
      </c>
      <c r="B156" s="2">
        <v>43049</v>
      </c>
      <c r="C156" t="str">
        <f>"0001209910111715180577400"</f>
        <v>0001209910111715180577400</v>
      </c>
      <c r="D156" t="s">
        <v>248</v>
      </c>
      <c r="E156">
        <v>14.48</v>
      </c>
      <c r="G156" s="1">
        <v>1961331.49</v>
      </c>
    </row>
    <row r="157" spans="1:7" x14ac:dyDescent="0.25">
      <c r="A157" s="2">
        <v>43049</v>
      </c>
      <c r="B157" s="2">
        <v>43049</v>
      </c>
      <c r="C157" t="str">
        <f>"0001209910111715180577400"</f>
        <v>0001209910111715180577400</v>
      </c>
      <c r="D157" t="s">
        <v>249</v>
      </c>
      <c r="E157">
        <v>1.45</v>
      </c>
      <c r="G157" s="1">
        <v>1961330.04</v>
      </c>
    </row>
    <row r="158" spans="1:7" x14ac:dyDescent="0.25">
      <c r="A158" s="2">
        <v>43049</v>
      </c>
      <c r="B158" s="2">
        <v>43049</v>
      </c>
      <c r="C158" t="str">
        <f>"0001209910111715500577471"</f>
        <v>0001209910111715500577471</v>
      </c>
      <c r="D158" t="s">
        <v>1005</v>
      </c>
      <c r="E158" s="1">
        <v>5852.05</v>
      </c>
      <c r="G158" s="1">
        <v>1955477.99</v>
      </c>
    </row>
    <row r="159" spans="1:7" x14ac:dyDescent="0.25">
      <c r="A159" s="2">
        <v>43049</v>
      </c>
      <c r="B159" s="2">
        <v>43049</v>
      </c>
      <c r="C159" t="str">
        <f>"0001209910111715500577471"</f>
        <v>0001209910111715500577471</v>
      </c>
      <c r="D159" t="s">
        <v>248</v>
      </c>
      <c r="E159">
        <v>14.48</v>
      </c>
      <c r="G159" s="1">
        <v>1955463.51</v>
      </c>
    </row>
    <row r="160" spans="1:7" x14ac:dyDescent="0.25">
      <c r="A160" s="2">
        <v>43049</v>
      </c>
      <c r="B160" s="2">
        <v>43049</v>
      </c>
      <c r="C160" t="str">
        <f>"0001209910111715500577471"</f>
        <v>0001209910111715500577471</v>
      </c>
      <c r="D160" t="s">
        <v>249</v>
      </c>
      <c r="E160">
        <v>1.45</v>
      </c>
      <c r="G160" s="1">
        <v>1955462.06</v>
      </c>
    </row>
    <row r="161" spans="1:7" x14ac:dyDescent="0.25">
      <c r="A161" s="2">
        <v>43049</v>
      </c>
      <c r="B161" s="2">
        <v>43049</v>
      </c>
      <c r="C161" t="str">
        <f>"0001209910111715570577489"</f>
        <v>0001209910111715570577489</v>
      </c>
      <c r="D161" t="s">
        <v>1006</v>
      </c>
      <c r="E161" s="1">
        <v>1416.99</v>
      </c>
      <c r="G161" s="1">
        <v>1954045.07</v>
      </c>
    </row>
    <row r="162" spans="1:7" x14ac:dyDescent="0.25">
      <c r="A162" s="2">
        <v>43049</v>
      </c>
      <c r="B162" s="2">
        <v>43049</v>
      </c>
      <c r="C162" t="str">
        <f>"0001209910111715570577489"</f>
        <v>0001209910111715570577489</v>
      </c>
      <c r="D162" t="s">
        <v>248</v>
      </c>
      <c r="E162">
        <v>14.48</v>
      </c>
      <c r="G162" s="1">
        <v>1954030.59</v>
      </c>
    </row>
    <row r="163" spans="1:7" x14ac:dyDescent="0.25">
      <c r="A163" s="2">
        <v>43049</v>
      </c>
      <c r="B163" s="2">
        <v>43049</v>
      </c>
      <c r="C163" t="str">
        <f>"0001209910111715570577489"</f>
        <v>0001209910111715570577489</v>
      </c>
      <c r="D163" t="s">
        <v>249</v>
      </c>
      <c r="E163">
        <v>1.45</v>
      </c>
      <c r="G163" s="1">
        <v>1954029.14</v>
      </c>
    </row>
    <row r="164" spans="1:7" x14ac:dyDescent="0.25">
      <c r="A164" s="2">
        <v>43049</v>
      </c>
      <c r="B164" s="2">
        <v>43049</v>
      </c>
      <c r="C164" t="str">
        <f>"4848100314FC|103"</f>
        <v>4848100314FC|103</v>
      </c>
      <c r="D164" t="s">
        <v>1007</v>
      </c>
      <c r="F164" s="1">
        <v>2773</v>
      </c>
      <c r="G164" s="1">
        <v>1956802.14</v>
      </c>
    </row>
    <row r="165" spans="1:7" x14ac:dyDescent="0.25">
      <c r="A165" s="2">
        <v>43049</v>
      </c>
      <c r="B165" s="2">
        <v>43049</v>
      </c>
      <c r="C165" t="str">
        <f>"4848100314FC|103"</f>
        <v>4848100314FC|103</v>
      </c>
      <c r="D165" t="s">
        <v>1008</v>
      </c>
      <c r="E165">
        <v>10</v>
      </c>
      <c r="G165" s="1">
        <v>1956792.14</v>
      </c>
    </row>
    <row r="166" spans="1:7" x14ac:dyDescent="0.25">
      <c r="A166" s="2">
        <v>43049</v>
      </c>
      <c r="B166" s="2">
        <v>43049</v>
      </c>
      <c r="C166" t="str">
        <f t="shared" ref="C166:C171" si="2">"00000000"</f>
        <v>00000000</v>
      </c>
      <c r="D166" t="s">
        <v>1009</v>
      </c>
      <c r="E166">
        <v>10</v>
      </c>
      <c r="G166" s="1">
        <v>1956782.14</v>
      </c>
    </row>
    <row r="167" spans="1:7" x14ac:dyDescent="0.25">
      <c r="A167" s="2">
        <v>43049</v>
      </c>
      <c r="B167" s="2">
        <v>43049</v>
      </c>
      <c r="C167" t="str">
        <f t="shared" si="2"/>
        <v>00000000</v>
      </c>
      <c r="D167" t="s">
        <v>1010</v>
      </c>
      <c r="E167">
        <v>5</v>
      </c>
      <c r="G167" s="1">
        <v>1956777.14</v>
      </c>
    </row>
    <row r="168" spans="1:7" x14ac:dyDescent="0.25">
      <c r="A168" s="2">
        <v>43049</v>
      </c>
      <c r="B168" s="2">
        <v>43049</v>
      </c>
      <c r="C168" t="str">
        <f t="shared" si="2"/>
        <v>00000000</v>
      </c>
      <c r="D168" t="s">
        <v>1009</v>
      </c>
      <c r="E168">
        <v>1</v>
      </c>
      <c r="G168" s="1">
        <v>1956776.14</v>
      </c>
    </row>
    <row r="169" spans="1:7" x14ac:dyDescent="0.25">
      <c r="A169" s="2">
        <v>43049</v>
      </c>
      <c r="B169" s="2">
        <v>43049</v>
      </c>
      <c r="C169" t="str">
        <f t="shared" si="2"/>
        <v>00000000</v>
      </c>
      <c r="D169" t="s">
        <v>1010</v>
      </c>
      <c r="E169">
        <v>5</v>
      </c>
      <c r="G169" s="1">
        <v>1956771.14</v>
      </c>
    </row>
    <row r="170" spans="1:7" x14ac:dyDescent="0.25">
      <c r="A170" s="2">
        <v>43049</v>
      </c>
      <c r="B170" s="2">
        <v>43049</v>
      </c>
      <c r="C170" t="str">
        <f t="shared" si="2"/>
        <v>00000000</v>
      </c>
      <c r="D170" t="s">
        <v>1009</v>
      </c>
      <c r="F170" s="1">
        <v>5734.8</v>
      </c>
      <c r="G170" s="1">
        <v>1962505.94</v>
      </c>
    </row>
    <row r="171" spans="1:7" x14ac:dyDescent="0.25">
      <c r="A171" s="2">
        <v>43049</v>
      </c>
      <c r="B171" s="2">
        <v>43049</v>
      </c>
      <c r="C171" t="str">
        <f t="shared" si="2"/>
        <v>00000000</v>
      </c>
      <c r="D171" t="s">
        <v>1010</v>
      </c>
      <c r="F171">
        <v>246.23</v>
      </c>
      <c r="G171" s="1">
        <v>1962752.17</v>
      </c>
    </row>
    <row r="172" spans="1:7" x14ac:dyDescent="0.25">
      <c r="A172" s="2">
        <v>43052</v>
      </c>
      <c r="B172" s="2">
        <v>43052</v>
      </c>
      <c r="C172" t="str">
        <f>"00106899  "</f>
        <v xml:space="preserve">00106899  </v>
      </c>
      <c r="D172" t="s">
        <v>1011</v>
      </c>
      <c r="E172">
        <v>820</v>
      </c>
      <c r="G172" s="1">
        <v>1961932.17</v>
      </c>
    </row>
    <row r="173" spans="1:7" x14ac:dyDescent="0.25">
      <c r="A173" s="2">
        <v>43052</v>
      </c>
      <c r="B173" s="2">
        <v>43052</v>
      </c>
      <c r="C173" t="str">
        <f>"00106877  "</f>
        <v xml:space="preserve">00106877  </v>
      </c>
      <c r="D173" t="s">
        <v>1012</v>
      </c>
      <c r="E173" s="1">
        <v>2974</v>
      </c>
      <c r="G173" s="1">
        <v>1958958.17</v>
      </c>
    </row>
    <row r="174" spans="1:7" x14ac:dyDescent="0.25">
      <c r="A174" s="2">
        <v>43052</v>
      </c>
      <c r="B174" s="2">
        <v>43052</v>
      </c>
      <c r="C174" t="str">
        <f>"3731700585|103"</f>
        <v>3731700585|103</v>
      </c>
      <c r="D174" t="s">
        <v>1013</v>
      </c>
      <c r="F174" s="1">
        <v>3048</v>
      </c>
      <c r="G174" s="1">
        <v>1962006.17</v>
      </c>
    </row>
    <row r="175" spans="1:7" x14ac:dyDescent="0.25">
      <c r="A175" s="2">
        <v>43052</v>
      </c>
      <c r="B175" s="2">
        <v>43052</v>
      </c>
      <c r="C175" t="str">
        <f>"0001206113111711480020840"</f>
        <v>0001206113111711480020840</v>
      </c>
      <c r="D175" t="s">
        <v>110</v>
      </c>
      <c r="F175">
        <v>900</v>
      </c>
      <c r="G175" s="1">
        <v>1962906.17</v>
      </c>
    </row>
    <row r="176" spans="1:7" x14ac:dyDescent="0.25">
      <c r="A176" s="2">
        <v>43052</v>
      </c>
      <c r="B176" s="2">
        <v>43052</v>
      </c>
      <c r="C176" t="str">
        <f>"0001200213111715290071299"</f>
        <v>0001200213111715290071299</v>
      </c>
      <c r="D176" t="s">
        <v>110</v>
      </c>
      <c r="F176">
        <v>591</v>
      </c>
      <c r="G176" s="1">
        <v>1963497.17</v>
      </c>
    </row>
    <row r="177" spans="1:7" x14ac:dyDescent="0.25">
      <c r="A177" s="2">
        <v>43052</v>
      </c>
      <c r="B177" s="2">
        <v>43052</v>
      </c>
      <c r="C177" t="str">
        <f>"0001200213111715340071306"</f>
        <v>0001200213111715340071306</v>
      </c>
      <c r="D177" t="s">
        <v>110</v>
      </c>
      <c r="F177">
        <v>415</v>
      </c>
      <c r="G177" s="1">
        <v>1963912.17</v>
      </c>
    </row>
    <row r="178" spans="1:7" x14ac:dyDescent="0.25">
      <c r="A178" s="2">
        <v>43053</v>
      </c>
      <c r="B178" s="2">
        <v>43053</v>
      </c>
      <c r="C178" t="str">
        <f>"0001209913111716170577937"</f>
        <v>0001209913111716170577937</v>
      </c>
      <c r="D178" t="s">
        <v>1014</v>
      </c>
      <c r="E178" s="1">
        <v>996861.58</v>
      </c>
      <c r="G178" s="1">
        <v>974641.94</v>
      </c>
    </row>
    <row r="179" spans="1:7" x14ac:dyDescent="0.25">
      <c r="A179" s="2">
        <v>43053</v>
      </c>
      <c r="B179" s="2">
        <v>43053</v>
      </c>
      <c r="C179" t="str">
        <f>"0001209913111716170577937"</f>
        <v>0001209913111716170577937</v>
      </c>
      <c r="D179" t="s">
        <v>307</v>
      </c>
      <c r="E179">
        <v>4.82</v>
      </c>
      <c r="G179" s="1">
        <v>974637.12</v>
      </c>
    </row>
    <row r="180" spans="1:7" x14ac:dyDescent="0.25">
      <c r="A180" s="2">
        <v>43053</v>
      </c>
      <c r="B180" s="2">
        <v>43053</v>
      </c>
      <c r="C180" t="str">
        <f>"0001209913111716170577937"</f>
        <v>0001209913111716170577937</v>
      </c>
      <c r="D180" t="s">
        <v>249</v>
      </c>
      <c r="E180">
        <v>0.48</v>
      </c>
      <c r="G180" s="1">
        <v>974636.64</v>
      </c>
    </row>
    <row r="181" spans="1:7" x14ac:dyDescent="0.25">
      <c r="A181" s="2">
        <v>43053</v>
      </c>
      <c r="B181" s="2">
        <v>43053</v>
      </c>
      <c r="C181" t="str">
        <f>"FT17317VPZ7R|103"</f>
        <v>FT17317VPZ7R|103</v>
      </c>
      <c r="D181" t="s">
        <v>1015</v>
      </c>
      <c r="F181">
        <v>413</v>
      </c>
      <c r="G181" s="1">
        <v>975049.64</v>
      </c>
    </row>
    <row r="182" spans="1:7" x14ac:dyDescent="0.25">
      <c r="A182" s="2">
        <v>43053</v>
      </c>
      <c r="B182" s="2">
        <v>43053</v>
      </c>
      <c r="C182" t="str">
        <f>"FT173177K80T|103"</f>
        <v>FT173177K80T|103</v>
      </c>
      <c r="D182" t="s">
        <v>1016</v>
      </c>
      <c r="F182">
        <v>543</v>
      </c>
      <c r="G182" s="1">
        <v>975592.64</v>
      </c>
    </row>
    <row r="183" spans="1:7" x14ac:dyDescent="0.25">
      <c r="A183" s="2">
        <v>43053</v>
      </c>
      <c r="B183" s="2">
        <v>43053</v>
      </c>
      <c r="C183" t="str">
        <f>"FT17317DCX47|103"</f>
        <v>FT17317DCX47|103</v>
      </c>
      <c r="D183" t="s">
        <v>1017</v>
      </c>
      <c r="F183">
        <v>457</v>
      </c>
      <c r="G183" s="1">
        <v>976049.64</v>
      </c>
    </row>
    <row r="184" spans="1:7" x14ac:dyDescent="0.25">
      <c r="A184" s="2">
        <v>43053</v>
      </c>
      <c r="B184" s="2">
        <v>43053</v>
      </c>
      <c r="C184" t="str">
        <f>"FT17317JR1D5|103"</f>
        <v>FT17317JR1D5|103</v>
      </c>
      <c r="D184" t="s">
        <v>1018</v>
      </c>
      <c r="F184" s="1">
        <v>1537</v>
      </c>
      <c r="G184" s="1">
        <v>977586.64</v>
      </c>
    </row>
    <row r="185" spans="1:7" x14ac:dyDescent="0.25">
      <c r="A185" s="2">
        <v>43053</v>
      </c>
      <c r="B185" s="2">
        <v>43053</v>
      </c>
      <c r="C185" t="str">
        <f>"3731701921|103"</f>
        <v>3731701921|103</v>
      </c>
      <c r="D185" t="s">
        <v>1019</v>
      </c>
      <c r="F185" s="1">
        <v>1367.05</v>
      </c>
      <c r="G185" s="1">
        <v>978953.69</v>
      </c>
    </row>
    <row r="186" spans="1:7" x14ac:dyDescent="0.25">
      <c r="A186" s="2">
        <v>43053</v>
      </c>
      <c r="B186" s="2">
        <v>43053</v>
      </c>
      <c r="C186" t="str">
        <f>"FT17317HJKPY|103"</f>
        <v>FT17317HJKPY|103</v>
      </c>
      <c r="D186" t="s">
        <v>1020</v>
      </c>
      <c r="F186">
        <v>413</v>
      </c>
      <c r="G186" s="1">
        <v>979366.69</v>
      </c>
    </row>
    <row r="187" spans="1:7" x14ac:dyDescent="0.25">
      <c r="A187" s="2">
        <v>43053</v>
      </c>
      <c r="B187" s="2">
        <v>43053</v>
      </c>
      <c r="C187" t="str">
        <f>"FT17317WGWBT|103"</f>
        <v>FT17317WGWBT|103</v>
      </c>
      <c r="D187" t="s">
        <v>1021</v>
      </c>
      <c r="F187">
        <v>333</v>
      </c>
      <c r="G187" s="1">
        <v>979699.69</v>
      </c>
    </row>
    <row r="188" spans="1:7" x14ac:dyDescent="0.25">
      <c r="A188" s="2">
        <v>43053</v>
      </c>
      <c r="B188" s="2">
        <v>43053</v>
      </c>
      <c r="C188" t="str">
        <f>"FT173174J8Z9|103"</f>
        <v>FT173174J8Z9|103</v>
      </c>
      <c r="D188" t="s">
        <v>1022</v>
      </c>
      <c r="F188">
        <v>628</v>
      </c>
      <c r="G188" s="1">
        <v>980327.69</v>
      </c>
    </row>
    <row r="189" spans="1:7" x14ac:dyDescent="0.25">
      <c r="A189" s="2">
        <v>43053</v>
      </c>
      <c r="B189" s="2">
        <v>43053</v>
      </c>
      <c r="C189" t="str">
        <f>"FT17317T7FK4|103"</f>
        <v>FT17317T7FK4|103</v>
      </c>
      <c r="D189" t="s">
        <v>1023</v>
      </c>
      <c r="F189" s="1">
        <v>1490</v>
      </c>
      <c r="G189" s="1">
        <v>981817.69</v>
      </c>
    </row>
    <row r="190" spans="1:7" x14ac:dyDescent="0.25">
      <c r="A190" s="2">
        <v>43053</v>
      </c>
      <c r="B190" s="2">
        <v>43053</v>
      </c>
      <c r="C190" t="str">
        <f>"FT17317PBCXS|103"</f>
        <v>FT17317PBCXS|103</v>
      </c>
      <c r="D190" t="s">
        <v>1024</v>
      </c>
      <c r="F190">
        <v>381</v>
      </c>
      <c r="G190" s="1">
        <v>982198.69</v>
      </c>
    </row>
    <row r="191" spans="1:7" x14ac:dyDescent="0.25">
      <c r="A191" s="2">
        <v>43053</v>
      </c>
      <c r="B191" s="2">
        <v>43053</v>
      </c>
      <c r="C191" t="str">
        <f>"FT17317TCPFN|103"</f>
        <v>FT17317TCPFN|103</v>
      </c>
      <c r="D191" t="s">
        <v>1025</v>
      </c>
      <c r="F191">
        <v>45</v>
      </c>
      <c r="G191" s="1">
        <v>982243.69</v>
      </c>
    </row>
    <row r="192" spans="1:7" x14ac:dyDescent="0.25">
      <c r="A192" s="2">
        <v>43053</v>
      </c>
      <c r="B192" s="2">
        <v>43053</v>
      </c>
      <c r="C192" t="str">
        <f>"FT17317WYKKJ|103"</f>
        <v>FT17317WYKKJ|103</v>
      </c>
      <c r="D192" t="s">
        <v>1026</v>
      </c>
      <c r="F192">
        <v>120</v>
      </c>
      <c r="G192" s="1">
        <v>982363.69</v>
      </c>
    </row>
    <row r="193" spans="1:7" x14ac:dyDescent="0.25">
      <c r="A193" s="2">
        <v>43053</v>
      </c>
      <c r="B193" s="2">
        <v>43053</v>
      </c>
      <c r="C193" t="str">
        <f>"FT173176YZ17|103"</f>
        <v>FT173176YZ17|103</v>
      </c>
      <c r="D193" t="s">
        <v>1027</v>
      </c>
      <c r="F193">
        <v>893</v>
      </c>
      <c r="G193" s="1">
        <v>983256.69</v>
      </c>
    </row>
    <row r="194" spans="1:7" x14ac:dyDescent="0.25">
      <c r="A194" s="2">
        <v>43053</v>
      </c>
      <c r="B194" s="2">
        <v>43053</v>
      </c>
      <c r="C194" t="str">
        <f>"FT1731776RY6|103"</f>
        <v>FT1731776RY6|103</v>
      </c>
      <c r="D194" t="s">
        <v>1028</v>
      </c>
      <c r="F194">
        <v>120</v>
      </c>
      <c r="G194" s="1">
        <v>983376.69</v>
      </c>
    </row>
    <row r="195" spans="1:7" x14ac:dyDescent="0.25">
      <c r="A195" s="2">
        <v>43053</v>
      </c>
      <c r="B195" s="2">
        <v>43053</v>
      </c>
      <c r="C195" t="str">
        <f>"0001209914111710030578100"</f>
        <v>0001209914111710030578100</v>
      </c>
      <c r="D195" t="s">
        <v>1029</v>
      </c>
      <c r="E195" s="1">
        <v>610841.35</v>
      </c>
      <c r="G195" s="1">
        <v>372535.34</v>
      </c>
    </row>
    <row r="196" spans="1:7" x14ac:dyDescent="0.25">
      <c r="A196" s="2">
        <v>43053</v>
      </c>
      <c r="B196" s="2">
        <v>43053</v>
      </c>
      <c r="C196" t="str">
        <f>"0001209914111710030578100"</f>
        <v>0001209914111710030578100</v>
      </c>
      <c r="D196" t="s">
        <v>307</v>
      </c>
      <c r="E196">
        <v>4.82</v>
      </c>
      <c r="G196" s="1">
        <v>372530.52</v>
      </c>
    </row>
    <row r="197" spans="1:7" x14ac:dyDescent="0.25">
      <c r="A197" s="2">
        <v>43053</v>
      </c>
      <c r="B197" s="2">
        <v>43053</v>
      </c>
      <c r="C197" t="str">
        <f>"0001209914111710030578100"</f>
        <v>0001209914111710030578100</v>
      </c>
      <c r="D197" t="s">
        <v>249</v>
      </c>
      <c r="E197">
        <v>0.48</v>
      </c>
      <c r="G197" s="1">
        <v>372530.04</v>
      </c>
    </row>
    <row r="198" spans="1:7" x14ac:dyDescent="0.25">
      <c r="A198" s="2">
        <v>43053</v>
      </c>
      <c r="B198" s="2">
        <v>43053</v>
      </c>
      <c r="C198" t="str">
        <f>"022FT10173140101|103"</f>
        <v>022FT10173140101|103</v>
      </c>
      <c r="D198" t="s">
        <v>1030</v>
      </c>
      <c r="F198">
        <v>215</v>
      </c>
      <c r="G198" s="1">
        <v>372745.04</v>
      </c>
    </row>
    <row r="199" spans="1:7" x14ac:dyDescent="0.25">
      <c r="A199" s="2">
        <v>43053</v>
      </c>
      <c r="B199" s="2">
        <v>43053</v>
      </c>
      <c r="C199" t="str">
        <f>"0001200214111713090071869"</f>
        <v>0001200214111713090071869</v>
      </c>
      <c r="D199" t="s">
        <v>211</v>
      </c>
      <c r="E199" s="1">
        <v>2101</v>
      </c>
      <c r="G199" s="1">
        <v>370644.04</v>
      </c>
    </row>
    <row r="200" spans="1:7" x14ac:dyDescent="0.25">
      <c r="A200" s="2">
        <v>43053</v>
      </c>
      <c r="B200" s="2">
        <v>43053</v>
      </c>
      <c r="C200" t="str">
        <f>"013RTGS173180004|103"</f>
        <v>013RTGS173180004|103</v>
      </c>
      <c r="D200" t="s">
        <v>1031</v>
      </c>
      <c r="F200" s="1">
        <v>66843</v>
      </c>
      <c r="G200" s="1">
        <v>440368.04</v>
      </c>
    </row>
    <row r="201" spans="1:7" x14ac:dyDescent="0.25">
      <c r="A201" s="2">
        <v>43053</v>
      </c>
      <c r="B201" s="2">
        <v>43053</v>
      </c>
      <c r="C201" t="str">
        <f>"901411JWKA07"</f>
        <v>901411JWKA07</v>
      </c>
      <c r="D201" t="s">
        <v>1032</v>
      </c>
      <c r="E201">
        <v>2.82</v>
      </c>
      <c r="G201" s="1">
        <v>440365.22</v>
      </c>
    </row>
    <row r="202" spans="1:7" x14ac:dyDescent="0.25">
      <c r="A202" s="2">
        <v>43053</v>
      </c>
      <c r="B202" s="2">
        <v>43053</v>
      </c>
      <c r="C202" t="str">
        <f>"901411JWKA07"</f>
        <v>901411JWKA07</v>
      </c>
      <c r="D202" t="s">
        <v>1033</v>
      </c>
      <c r="E202">
        <v>86.27</v>
      </c>
      <c r="G202" s="1">
        <v>440278.95</v>
      </c>
    </row>
    <row r="203" spans="1:7" x14ac:dyDescent="0.25">
      <c r="A203" s="2">
        <v>43054</v>
      </c>
      <c r="B203" s="2">
        <v>43054</v>
      </c>
      <c r="C203" t="str">
        <f>"0001200203111716180062901"</f>
        <v>0001200203111716180062901</v>
      </c>
      <c r="D203" t="s">
        <v>1034</v>
      </c>
      <c r="F203">
        <v>454</v>
      </c>
      <c r="G203" s="1">
        <v>1147412.1499999999</v>
      </c>
    </row>
    <row r="204" spans="1:7" x14ac:dyDescent="0.25">
      <c r="A204" s="2">
        <v>43054</v>
      </c>
      <c r="B204" s="2">
        <v>43054</v>
      </c>
      <c r="C204" t="str">
        <f>"901511JWKA00"</f>
        <v>901511JWKA00</v>
      </c>
      <c r="D204" t="s">
        <v>1035</v>
      </c>
      <c r="E204">
        <v>5.05</v>
      </c>
      <c r="G204" s="1">
        <v>440273.9</v>
      </c>
    </row>
    <row r="205" spans="1:7" x14ac:dyDescent="0.25">
      <c r="A205" s="2">
        <v>43054</v>
      </c>
      <c r="B205" s="2">
        <v>43054</v>
      </c>
      <c r="C205" t="str">
        <f>"00106873  "</f>
        <v xml:space="preserve">00106873  </v>
      </c>
      <c r="D205" t="s">
        <v>1036</v>
      </c>
      <c r="E205" s="1">
        <v>10306.200000000001</v>
      </c>
      <c r="G205" s="1">
        <v>429967.7</v>
      </c>
    </row>
    <row r="206" spans="1:7" x14ac:dyDescent="0.25">
      <c r="A206" s="2">
        <v>43054</v>
      </c>
      <c r="B206" s="2">
        <v>43054</v>
      </c>
      <c r="C206" t="str">
        <f>"00106745  "</f>
        <v xml:space="preserve">00106745  </v>
      </c>
      <c r="D206" t="s">
        <v>1037</v>
      </c>
      <c r="E206">
        <v>156</v>
      </c>
      <c r="G206" s="1">
        <v>429811.7</v>
      </c>
    </row>
    <row r="207" spans="1:7" x14ac:dyDescent="0.25">
      <c r="A207" s="2">
        <v>43054</v>
      </c>
      <c r="B207" s="2">
        <v>43054</v>
      </c>
      <c r="C207" t="str">
        <f>"00106874  "</f>
        <v xml:space="preserve">00106874  </v>
      </c>
      <c r="D207" t="s">
        <v>1038</v>
      </c>
      <c r="E207" s="1">
        <v>5627.3</v>
      </c>
      <c r="G207" s="1">
        <v>424184.4</v>
      </c>
    </row>
    <row r="208" spans="1:7" x14ac:dyDescent="0.25">
      <c r="A208" s="2">
        <v>43054</v>
      </c>
      <c r="B208" s="2">
        <v>43054</v>
      </c>
      <c r="C208" t="str">
        <f>"SE07801711150492|103"</f>
        <v>SE07801711150492|103</v>
      </c>
      <c r="D208" t="s">
        <v>1039</v>
      </c>
      <c r="F208" s="1">
        <v>1005</v>
      </c>
      <c r="G208" s="1">
        <v>425189.4</v>
      </c>
    </row>
    <row r="209" spans="1:7" x14ac:dyDescent="0.25">
      <c r="A209" s="2">
        <v>43054</v>
      </c>
      <c r="B209" s="2">
        <v>43054</v>
      </c>
      <c r="C209" t="str">
        <f>"FT17319BC9FM|103"</f>
        <v>FT17319BC9FM|103</v>
      </c>
      <c r="D209" t="s">
        <v>1040</v>
      </c>
      <c r="F209" s="1">
        <v>5014</v>
      </c>
      <c r="G209" s="1">
        <v>430203.4</v>
      </c>
    </row>
    <row r="210" spans="1:7" x14ac:dyDescent="0.25">
      <c r="A210" s="2">
        <v>43054</v>
      </c>
      <c r="B210" s="2">
        <v>43054</v>
      </c>
      <c r="C210" t="str">
        <f>"0957009318EZ|103"</f>
        <v>0957009318EZ|103</v>
      </c>
      <c r="D210" t="s">
        <v>1041</v>
      </c>
      <c r="F210" s="1">
        <v>1882</v>
      </c>
      <c r="G210" s="1">
        <v>432085.4</v>
      </c>
    </row>
    <row r="211" spans="1:7" x14ac:dyDescent="0.25">
      <c r="A211" s="2">
        <v>43054</v>
      </c>
      <c r="B211" s="2">
        <v>43054</v>
      </c>
      <c r="C211" t="str">
        <f>"0957009318EZ|103"</f>
        <v>0957009318EZ|103</v>
      </c>
      <c r="D211" t="s">
        <v>1042</v>
      </c>
      <c r="E211">
        <v>10</v>
      </c>
      <c r="G211" s="1">
        <v>432075.4</v>
      </c>
    </row>
    <row r="212" spans="1:7" x14ac:dyDescent="0.25">
      <c r="A212" s="2">
        <v>43054</v>
      </c>
      <c r="B212" s="2">
        <v>43054</v>
      </c>
      <c r="C212" t="str">
        <f>"C107276OCP111417|103"</f>
        <v>C107276OCP111417|103</v>
      </c>
      <c r="D212" t="s">
        <v>1043</v>
      </c>
      <c r="F212" s="1">
        <v>2505</v>
      </c>
      <c r="G212" s="1">
        <v>434580.4</v>
      </c>
    </row>
    <row r="213" spans="1:7" x14ac:dyDescent="0.25">
      <c r="A213" s="2">
        <v>43054</v>
      </c>
      <c r="B213" s="2">
        <v>43054</v>
      </c>
      <c r="C213" t="str">
        <f>"C784810OCP111417|103"</f>
        <v>C784810OCP111417|103</v>
      </c>
      <c r="D213" t="s">
        <v>1044</v>
      </c>
      <c r="F213">
        <v>900</v>
      </c>
      <c r="G213" s="1">
        <v>435480.4</v>
      </c>
    </row>
    <row r="214" spans="1:7" x14ac:dyDescent="0.25">
      <c r="A214" s="2">
        <v>43054</v>
      </c>
      <c r="B214" s="2">
        <v>43054</v>
      </c>
      <c r="C214" t="str">
        <f>"0001200215111714080072834"</f>
        <v>0001200215111714080072834</v>
      </c>
      <c r="D214" t="s">
        <v>211</v>
      </c>
      <c r="E214" s="1">
        <v>2000</v>
      </c>
      <c r="G214" s="1">
        <v>433480.4</v>
      </c>
    </row>
    <row r="215" spans="1:7" x14ac:dyDescent="0.25">
      <c r="A215" s="2">
        <v>43054</v>
      </c>
      <c r="B215" s="2">
        <v>43054</v>
      </c>
      <c r="C215" t="str">
        <f>"3731901031|103"</f>
        <v>3731901031|103</v>
      </c>
      <c r="D215" t="s">
        <v>1045</v>
      </c>
      <c r="F215" s="1">
        <v>1896</v>
      </c>
      <c r="G215" s="1">
        <v>435376.4</v>
      </c>
    </row>
    <row r="216" spans="1:7" x14ac:dyDescent="0.25">
      <c r="A216" s="2">
        <v>43054</v>
      </c>
      <c r="B216" s="2">
        <v>43054</v>
      </c>
      <c r="C216" t="str">
        <f>"00000000"</f>
        <v>00000000</v>
      </c>
      <c r="D216" t="s">
        <v>1046</v>
      </c>
      <c r="E216">
        <v>0.4</v>
      </c>
      <c r="G216" s="1">
        <v>435376</v>
      </c>
    </row>
    <row r="217" spans="1:7" x14ac:dyDescent="0.25">
      <c r="A217" s="2">
        <v>43054</v>
      </c>
      <c r="B217" s="2">
        <v>43054</v>
      </c>
      <c r="C217" t="str">
        <f>"00000000"</f>
        <v>00000000</v>
      </c>
      <c r="D217" t="s">
        <v>1047</v>
      </c>
      <c r="E217">
        <v>1</v>
      </c>
      <c r="G217" s="1">
        <v>435375</v>
      </c>
    </row>
    <row r="218" spans="1:7" x14ac:dyDescent="0.25">
      <c r="A218" s="2">
        <v>43054</v>
      </c>
      <c r="B218" s="2">
        <v>43054</v>
      </c>
      <c r="C218" t="str">
        <f>"00000000"</f>
        <v>00000000</v>
      </c>
      <c r="D218" t="s">
        <v>1048</v>
      </c>
      <c r="E218">
        <v>1</v>
      </c>
      <c r="G218" s="1">
        <v>435374</v>
      </c>
    </row>
    <row r="219" spans="1:7" x14ac:dyDescent="0.25">
      <c r="A219" s="2">
        <v>43054</v>
      </c>
      <c r="B219" s="2">
        <v>43054</v>
      </c>
      <c r="C219" t="str">
        <f>"0001200215111715390072985"</f>
        <v>0001200215111715390072985</v>
      </c>
      <c r="D219" t="s">
        <v>110</v>
      </c>
      <c r="F219">
        <v>300</v>
      </c>
      <c r="G219" s="1">
        <v>435674</v>
      </c>
    </row>
    <row r="220" spans="1:7" x14ac:dyDescent="0.25">
      <c r="A220" s="2">
        <v>43054</v>
      </c>
      <c r="B220" s="2">
        <v>43054</v>
      </c>
      <c r="C220" t="str">
        <f>"0001200215111715400072988"</f>
        <v>0001200215111715400072988</v>
      </c>
      <c r="D220" t="s">
        <v>110</v>
      </c>
      <c r="F220">
        <v>116</v>
      </c>
      <c r="G220" s="1">
        <v>435790</v>
      </c>
    </row>
    <row r="221" spans="1:7" x14ac:dyDescent="0.25">
      <c r="A221" s="2">
        <v>43054</v>
      </c>
      <c r="B221" s="2">
        <v>43054</v>
      </c>
      <c r="C221" t="str">
        <f>"0001200215111715400072989"</f>
        <v>0001200215111715400072989</v>
      </c>
      <c r="D221" t="s">
        <v>110</v>
      </c>
      <c r="F221">
        <v>105</v>
      </c>
      <c r="G221" s="1">
        <v>435895</v>
      </c>
    </row>
    <row r="222" spans="1:7" x14ac:dyDescent="0.25">
      <c r="A222" s="2">
        <v>43054</v>
      </c>
      <c r="B222" s="2">
        <v>43054</v>
      </c>
      <c r="C222" t="str">
        <f>"FT17319BYKQR|103"</f>
        <v>FT17319BYKQR|103</v>
      </c>
      <c r="D222" t="s">
        <v>1049</v>
      </c>
      <c r="F222" s="1">
        <v>7325</v>
      </c>
      <c r="G222" s="1">
        <v>443220</v>
      </c>
    </row>
    <row r="223" spans="1:7" x14ac:dyDescent="0.25">
      <c r="A223" s="2">
        <v>43054</v>
      </c>
      <c r="B223" s="2">
        <v>43054</v>
      </c>
      <c r="C223" t="str">
        <f>"00000000"</f>
        <v>00000000</v>
      </c>
      <c r="D223" t="s">
        <v>1050</v>
      </c>
      <c r="F223">
        <v>444</v>
      </c>
      <c r="G223" s="1">
        <v>443664</v>
      </c>
    </row>
    <row r="224" spans="1:7" x14ac:dyDescent="0.25">
      <c r="A224" s="2">
        <v>43054</v>
      </c>
      <c r="B224" s="2">
        <v>43054</v>
      </c>
      <c r="C224" t="str">
        <f>"00000000"</f>
        <v>00000000</v>
      </c>
      <c r="D224" t="s">
        <v>1050</v>
      </c>
      <c r="E224">
        <v>0.5</v>
      </c>
      <c r="G224" s="1">
        <v>443663.5</v>
      </c>
    </row>
    <row r="225" spans="1:7" x14ac:dyDescent="0.25">
      <c r="A225" s="2">
        <v>43054</v>
      </c>
      <c r="B225" s="2">
        <v>43054</v>
      </c>
      <c r="C225" t="str">
        <f>"00000000"</f>
        <v>00000000</v>
      </c>
      <c r="D225" t="s">
        <v>1050</v>
      </c>
      <c r="E225">
        <v>5</v>
      </c>
      <c r="G225" s="1">
        <v>443658.5</v>
      </c>
    </row>
    <row r="226" spans="1:7" x14ac:dyDescent="0.25">
      <c r="A226" s="2">
        <v>43054</v>
      </c>
      <c r="B226" s="2">
        <v>43054</v>
      </c>
      <c r="C226" t="str">
        <f>"0001209915111716460578893"</f>
        <v>0001209915111716460578893</v>
      </c>
      <c r="D226" t="s">
        <v>1051</v>
      </c>
      <c r="E226" s="1">
        <v>4526</v>
      </c>
      <c r="G226" s="1">
        <v>439132.5</v>
      </c>
    </row>
    <row r="227" spans="1:7" x14ac:dyDescent="0.25">
      <c r="A227" s="2">
        <v>43054</v>
      </c>
      <c r="B227" s="2">
        <v>43054</v>
      </c>
      <c r="C227" t="str">
        <f>"0001209915111716460578893"</f>
        <v>0001209915111716460578893</v>
      </c>
      <c r="D227" t="s">
        <v>248</v>
      </c>
      <c r="E227">
        <v>14.47</v>
      </c>
      <c r="G227" s="1">
        <v>439118.03</v>
      </c>
    </row>
    <row r="228" spans="1:7" x14ac:dyDescent="0.25">
      <c r="A228" s="2">
        <v>43054</v>
      </c>
      <c r="B228" s="2">
        <v>43054</v>
      </c>
      <c r="C228" t="str">
        <f>"0001209915111716460578893"</f>
        <v>0001209915111716460578893</v>
      </c>
      <c r="D228" t="s">
        <v>249</v>
      </c>
      <c r="E228">
        <v>1.45</v>
      </c>
      <c r="G228" s="1">
        <v>439116.58</v>
      </c>
    </row>
    <row r="229" spans="1:7" x14ac:dyDescent="0.25">
      <c r="A229" s="2">
        <v>43055</v>
      </c>
      <c r="B229" s="2">
        <v>43055</v>
      </c>
      <c r="C229" t="str">
        <f>"0001200206111715590064388"</f>
        <v>0001200206111715590064388</v>
      </c>
      <c r="D229" t="s">
        <v>1052</v>
      </c>
      <c r="F229">
        <v>609</v>
      </c>
      <c r="G229" s="1">
        <v>1184693.83</v>
      </c>
    </row>
    <row r="230" spans="1:7" x14ac:dyDescent="0.25">
      <c r="A230" s="2">
        <v>43055</v>
      </c>
      <c r="B230" s="2">
        <v>43055</v>
      </c>
      <c r="C230" t="str">
        <f>"F51115629167000|103"</f>
        <v>F51115629167000|103</v>
      </c>
      <c r="D230" t="s">
        <v>1053</v>
      </c>
      <c r="E230">
        <v>10</v>
      </c>
      <c r="G230" s="1">
        <v>439106.58</v>
      </c>
    </row>
    <row r="231" spans="1:7" x14ac:dyDescent="0.25">
      <c r="A231" s="2">
        <v>43055</v>
      </c>
      <c r="B231" s="2">
        <v>43055</v>
      </c>
      <c r="C231" t="str">
        <f>"F51115629167000|103"</f>
        <v>F51115629167000|103</v>
      </c>
      <c r="D231" t="s">
        <v>1054</v>
      </c>
      <c r="F231" s="1">
        <v>7622</v>
      </c>
      <c r="G231" s="1">
        <v>446728.58</v>
      </c>
    </row>
    <row r="232" spans="1:7" x14ac:dyDescent="0.25">
      <c r="A232" s="2">
        <v>43055</v>
      </c>
      <c r="B232" s="2">
        <v>43055</v>
      </c>
      <c r="C232" t="str">
        <f>"0001209116111714120017408"</f>
        <v>0001209116111714120017408</v>
      </c>
      <c r="D232" t="s">
        <v>211</v>
      </c>
      <c r="E232" s="1">
        <v>13165</v>
      </c>
      <c r="G232" s="1">
        <v>433563.58</v>
      </c>
    </row>
    <row r="233" spans="1:7" x14ac:dyDescent="0.25">
      <c r="A233" s="2">
        <v>43055</v>
      </c>
      <c r="B233" s="2">
        <v>43055</v>
      </c>
      <c r="C233" t="str">
        <f>"FT173201S6NJ|103"</f>
        <v>FT173201S6NJ|103</v>
      </c>
      <c r="D233" t="s">
        <v>1055</v>
      </c>
      <c r="F233" s="1">
        <v>5438</v>
      </c>
      <c r="G233" s="1">
        <v>439001.58</v>
      </c>
    </row>
    <row r="234" spans="1:7" x14ac:dyDescent="0.25">
      <c r="A234" s="2">
        <v>43055</v>
      </c>
      <c r="B234" s="2">
        <v>43055</v>
      </c>
      <c r="C234" t="str">
        <f>"00000000"</f>
        <v>00000000</v>
      </c>
      <c r="D234" t="s">
        <v>1056</v>
      </c>
      <c r="E234">
        <v>1</v>
      </c>
      <c r="G234" s="1">
        <v>445155.58</v>
      </c>
    </row>
    <row r="235" spans="1:7" x14ac:dyDescent="0.25">
      <c r="A235" s="2">
        <v>43055</v>
      </c>
      <c r="B235" s="2">
        <v>43055</v>
      </c>
      <c r="C235" t="str">
        <f>"FT17320D41TJ|103"</f>
        <v>FT17320D41TJ|103</v>
      </c>
      <c r="D235" t="s">
        <v>1057</v>
      </c>
      <c r="F235">
        <v>405</v>
      </c>
      <c r="G235" s="1">
        <v>445560.58</v>
      </c>
    </row>
    <row r="236" spans="1:7" x14ac:dyDescent="0.25">
      <c r="A236" s="2">
        <v>43055</v>
      </c>
      <c r="B236" s="2">
        <v>43055</v>
      </c>
      <c r="C236" t="str">
        <f>"991611MOAB04"</f>
        <v>991611MOAB04</v>
      </c>
      <c r="D236" t="s">
        <v>1058</v>
      </c>
      <c r="F236" s="1">
        <v>1280</v>
      </c>
      <c r="G236" s="1">
        <v>446840.58</v>
      </c>
    </row>
    <row r="237" spans="1:7" x14ac:dyDescent="0.25">
      <c r="A237" s="2">
        <v>43056</v>
      </c>
      <c r="B237" s="2">
        <v>43056</v>
      </c>
      <c r="C237" t="str">
        <f>"0001200207111715260065634"</f>
        <v>0001200207111715260065634</v>
      </c>
      <c r="D237" t="s">
        <v>1059</v>
      </c>
      <c r="F237" s="1">
        <v>4932</v>
      </c>
      <c r="G237" s="1">
        <v>1218723.83</v>
      </c>
    </row>
    <row r="238" spans="1:7" x14ac:dyDescent="0.25">
      <c r="A238" s="2">
        <v>43056</v>
      </c>
      <c r="B238" s="2">
        <v>43056</v>
      </c>
      <c r="C238" t="str">
        <f>"0001200207111715260065639"</f>
        <v>0001200207111715260065639</v>
      </c>
      <c r="D238" t="s">
        <v>1060</v>
      </c>
      <c r="F238" s="1">
        <v>5593</v>
      </c>
      <c r="G238" s="1">
        <v>1224316.83</v>
      </c>
    </row>
    <row r="239" spans="1:7" x14ac:dyDescent="0.25">
      <c r="A239" s="2">
        <v>43056</v>
      </c>
      <c r="B239" s="2">
        <v>43056</v>
      </c>
      <c r="C239" t="str">
        <f>"00106768  "</f>
        <v xml:space="preserve">00106768  </v>
      </c>
      <c r="D239" t="s">
        <v>1061</v>
      </c>
      <c r="E239" s="1">
        <v>5110</v>
      </c>
      <c r="G239" s="1">
        <v>441730.58</v>
      </c>
    </row>
    <row r="240" spans="1:7" x14ac:dyDescent="0.25">
      <c r="A240" s="2">
        <v>43056</v>
      </c>
      <c r="B240" s="2">
        <v>43056</v>
      </c>
      <c r="C240" t="str">
        <f>"00106819  "</f>
        <v xml:space="preserve">00106819  </v>
      </c>
      <c r="D240" t="s">
        <v>1062</v>
      </c>
      <c r="E240" s="1">
        <v>11265</v>
      </c>
      <c r="G240" s="1">
        <v>430465.58</v>
      </c>
    </row>
    <row r="241" spans="1:7" x14ac:dyDescent="0.25">
      <c r="A241" s="2">
        <v>43056</v>
      </c>
      <c r="B241" s="2">
        <v>43056</v>
      </c>
      <c r="C241" t="str">
        <f>"00106767  "</f>
        <v xml:space="preserve">00106767  </v>
      </c>
      <c r="D241" t="s">
        <v>1063</v>
      </c>
      <c r="E241" s="1">
        <v>8493</v>
      </c>
      <c r="G241" s="1">
        <v>421972.58</v>
      </c>
    </row>
    <row r="242" spans="1:7" x14ac:dyDescent="0.25">
      <c r="A242" s="2">
        <v>43056</v>
      </c>
      <c r="B242" s="2">
        <v>43056</v>
      </c>
      <c r="C242" t="str">
        <f>"00106902  "</f>
        <v xml:space="preserve">00106902  </v>
      </c>
      <c r="D242" t="s">
        <v>1064</v>
      </c>
      <c r="E242">
        <v>930</v>
      </c>
      <c r="G242" s="1">
        <v>421042.58</v>
      </c>
    </row>
    <row r="243" spans="1:7" x14ac:dyDescent="0.25">
      <c r="A243" s="2">
        <v>43056</v>
      </c>
      <c r="B243" s="2">
        <v>43056</v>
      </c>
      <c r="C243" t="str">
        <f>"00106900  "</f>
        <v xml:space="preserve">00106900  </v>
      </c>
      <c r="D243" t="s">
        <v>1065</v>
      </c>
      <c r="E243" s="1">
        <v>1563.31</v>
      </c>
      <c r="G243" s="1">
        <v>419479.27</v>
      </c>
    </row>
    <row r="244" spans="1:7" x14ac:dyDescent="0.25">
      <c r="A244" s="2">
        <v>43056</v>
      </c>
      <c r="B244" s="2">
        <v>43056</v>
      </c>
      <c r="C244" t="str">
        <f>"0001209117111710200017531"</f>
        <v>0001209117111710200017531</v>
      </c>
      <c r="D244" t="s">
        <v>211</v>
      </c>
      <c r="E244" s="1">
        <v>12145</v>
      </c>
      <c r="G244" s="1">
        <v>407334.27</v>
      </c>
    </row>
    <row r="245" spans="1:7" x14ac:dyDescent="0.25">
      <c r="A245" s="2">
        <v>43056</v>
      </c>
      <c r="B245" s="2">
        <v>43056</v>
      </c>
      <c r="C245" t="str">
        <f>"6533000320FC|103"</f>
        <v>6533000320FC|103</v>
      </c>
      <c r="D245" t="s">
        <v>1066</v>
      </c>
      <c r="E245">
        <v>10</v>
      </c>
      <c r="G245" s="1">
        <v>407324.27</v>
      </c>
    </row>
    <row r="246" spans="1:7" x14ac:dyDescent="0.25">
      <c r="A246" s="2">
        <v>43056</v>
      </c>
      <c r="B246" s="2">
        <v>43056</v>
      </c>
      <c r="C246" t="str">
        <f>"3732002216|103"</f>
        <v>3732002216|103</v>
      </c>
      <c r="D246" t="s">
        <v>1067</v>
      </c>
      <c r="F246" s="1">
        <v>8382</v>
      </c>
      <c r="G246" s="1">
        <v>415706.27</v>
      </c>
    </row>
    <row r="247" spans="1:7" x14ac:dyDescent="0.25">
      <c r="A247" s="2">
        <v>43056</v>
      </c>
      <c r="B247" s="2">
        <v>43056</v>
      </c>
      <c r="C247" t="str">
        <f>"SE07801711171494|103"</f>
        <v>SE07801711171494|103</v>
      </c>
      <c r="D247" t="s">
        <v>1068</v>
      </c>
      <c r="F247" s="1">
        <v>14356</v>
      </c>
      <c r="G247" s="1">
        <v>430062.27</v>
      </c>
    </row>
    <row r="248" spans="1:7" x14ac:dyDescent="0.25">
      <c r="A248" s="2">
        <v>43056</v>
      </c>
      <c r="B248" s="2">
        <v>43056</v>
      </c>
      <c r="C248" t="str">
        <f>"6533000320FC|103"</f>
        <v>6533000320FC|103</v>
      </c>
      <c r="D248" t="s">
        <v>1069</v>
      </c>
      <c r="F248" s="1">
        <v>7175</v>
      </c>
      <c r="G248" s="1">
        <v>437237.27</v>
      </c>
    </row>
    <row r="249" spans="1:7" x14ac:dyDescent="0.25">
      <c r="A249" s="2">
        <v>43056</v>
      </c>
      <c r="B249" s="2">
        <v>43056</v>
      </c>
      <c r="C249" t="str">
        <f>"0001209917111713480579574"</f>
        <v>0001209917111713480579574</v>
      </c>
      <c r="D249" t="s">
        <v>1070</v>
      </c>
      <c r="E249" s="1">
        <v>25750.38</v>
      </c>
      <c r="G249" s="1">
        <v>411486.9</v>
      </c>
    </row>
    <row r="250" spans="1:7" x14ac:dyDescent="0.25">
      <c r="A250" s="2">
        <v>43056</v>
      </c>
      <c r="B250" s="2">
        <v>43056</v>
      </c>
      <c r="C250" t="str">
        <f>"0001209917111713480579574"</f>
        <v>0001209917111713480579574</v>
      </c>
      <c r="D250" t="s">
        <v>248</v>
      </c>
      <c r="E250">
        <v>14.46</v>
      </c>
      <c r="G250" s="1">
        <v>411472.43</v>
      </c>
    </row>
    <row r="251" spans="1:7" x14ac:dyDescent="0.25">
      <c r="A251" s="2">
        <v>43056</v>
      </c>
      <c r="B251" s="2">
        <v>43056</v>
      </c>
      <c r="C251" t="str">
        <f>"0001209917111713480579574"</f>
        <v>0001209917111713480579574</v>
      </c>
      <c r="D251" t="s">
        <v>249</v>
      </c>
      <c r="E251">
        <v>1.45</v>
      </c>
      <c r="G251" s="1">
        <v>411470.98</v>
      </c>
    </row>
    <row r="252" spans="1:7" x14ac:dyDescent="0.25">
      <c r="A252" s="2">
        <v>43056</v>
      </c>
      <c r="B252" s="2">
        <v>43056</v>
      </c>
      <c r="C252" t="str">
        <f>"3732101347|103"</f>
        <v>3732101347|103</v>
      </c>
      <c r="D252" t="s">
        <v>1071</v>
      </c>
      <c r="F252" s="1">
        <v>45929.07</v>
      </c>
      <c r="G252" s="1">
        <v>457400.05</v>
      </c>
    </row>
    <row r="253" spans="1:7" x14ac:dyDescent="0.25">
      <c r="A253" s="2">
        <v>43056</v>
      </c>
      <c r="B253" s="2">
        <v>43056</v>
      </c>
      <c r="C253" t="str">
        <f>"0001209917111714040579583"</f>
        <v>0001209917111714040579583</v>
      </c>
      <c r="D253" t="s">
        <v>1072</v>
      </c>
      <c r="E253" s="1">
        <v>1618.16</v>
      </c>
      <c r="G253" s="1">
        <v>455781.88</v>
      </c>
    </row>
    <row r="254" spans="1:7" x14ac:dyDescent="0.25">
      <c r="A254" s="2">
        <v>43056</v>
      </c>
      <c r="B254" s="2">
        <v>43056</v>
      </c>
      <c r="C254" t="str">
        <f>"0001209917111714040579583"</f>
        <v>0001209917111714040579583</v>
      </c>
      <c r="D254" t="s">
        <v>248</v>
      </c>
      <c r="E254">
        <v>14.46</v>
      </c>
      <c r="G254" s="1">
        <v>455767.42</v>
      </c>
    </row>
    <row r="255" spans="1:7" x14ac:dyDescent="0.25">
      <c r="A255" s="2">
        <v>43056</v>
      </c>
      <c r="B255" s="2">
        <v>43056</v>
      </c>
      <c r="C255" t="str">
        <f>"0001209917111714040579583"</f>
        <v>0001209917111714040579583</v>
      </c>
      <c r="D255" t="s">
        <v>249</v>
      </c>
      <c r="E255">
        <v>1.45</v>
      </c>
      <c r="G255" s="1">
        <v>455765.97</v>
      </c>
    </row>
    <row r="256" spans="1:7" x14ac:dyDescent="0.25">
      <c r="A256" s="2">
        <v>43056</v>
      </c>
      <c r="B256" s="2">
        <v>43056</v>
      </c>
      <c r="C256" t="str">
        <f>"0001200217111715340074589"</f>
        <v>0001200217111715340074589</v>
      </c>
      <c r="D256" t="s">
        <v>110</v>
      </c>
      <c r="F256" s="1">
        <v>1383</v>
      </c>
      <c r="G256" s="1">
        <v>457148.97</v>
      </c>
    </row>
    <row r="257" spans="1:7" x14ac:dyDescent="0.25">
      <c r="A257" s="2">
        <v>43056</v>
      </c>
      <c r="B257" s="2">
        <v>43056</v>
      </c>
      <c r="C257" t="str">
        <f>"0001200217111715340074590"</f>
        <v>0001200217111715340074590</v>
      </c>
      <c r="D257" t="s">
        <v>110</v>
      </c>
      <c r="F257">
        <v>371</v>
      </c>
      <c r="G257" s="1">
        <v>457519.97</v>
      </c>
    </row>
    <row r="258" spans="1:7" x14ac:dyDescent="0.25">
      <c r="A258" s="2">
        <v>43056</v>
      </c>
      <c r="B258" s="2">
        <v>43056</v>
      </c>
      <c r="C258" t="str">
        <f>"SE07801711173702|103"</f>
        <v>SE07801711173702|103</v>
      </c>
      <c r="D258" t="s">
        <v>1073</v>
      </c>
      <c r="F258">
        <v>127</v>
      </c>
      <c r="G258" s="1">
        <v>459521.97</v>
      </c>
    </row>
    <row r="259" spans="1:7" x14ac:dyDescent="0.25">
      <c r="A259" s="2">
        <v>43056</v>
      </c>
      <c r="B259" s="2">
        <v>43056</v>
      </c>
      <c r="C259" t="str">
        <f>"3732101539|103"</f>
        <v>3732101539|103</v>
      </c>
      <c r="D259" t="s">
        <v>1074</v>
      </c>
      <c r="F259" s="1">
        <v>30296.1</v>
      </c>
      <c r="G259" s="1">
        <v>489818.07</v>
      </c>
    </row>
    <row r="260" spans="1:7" x14ac:dyDescent="0.25">
      <c r="A260" s="2">
        <v>43056</v>
      </c>
      <c r="B260" s="2">
        <v>43056</v>
      </c>
      <c r="C260" t="str">
        <f>"FT17321J1SBV|103"</f>
        <v>FT17321J1SBV|103</v>
      </c>
      <c r="D260" t="s">
        <v>1075</v>
      </c>
      <c r="F260">
        <v>459</v>
      </c>
      <c r="G260" s="1">
        <v>490277.07</v>
      </c>
    </row>
    <row r="261" spans="1:7" x14ac:dyDescent="0.25">
      <c r="A261" s="2">
        <v>43056</v>
      </c>
      <c r="B261" s="2">
        <v>43056</v>
      </c>
      <c r="C261" t="str">
        <f>"3732102169|103"</f>
        <v>3732102169|103</v>
      </c>
      <c r="D261" t="s">
        <v>1076</v>
      </c>
      <c r="F261" s="1">
        <v>2794</v>
      </c>
      <c r="G261" s="1">
        <v>493071.07</v>
      </c>
    </row>
    <row r="262" spans="1:7" x14ac:dyDescent="0.25">
      <c r="A262" s="2">
        <v>43056</v>
      </c>
      <c r="B262" s="2">
        <v>43056</v>
      </c>
      <c r="C262" t="str">
        <f>"SE07801711173260|103"</f>
        <v>SE07801711173260|103</v>
      </c>
      <c r="D262" t="s">
        <v>1077</v>
      </c>
      <c r="F262" s="1">
        <v>16475</v>
      </c>
      <c r="G262" s="1">
        <v>509546.07</v>
      </c>
    </row>
    <row r="263" spans="1:7" x14ac:dyDescent="0.25">
      <c r="A263" s="2">
        <v>43057</v>
      </c>
      <c r="B263" s="2">
        <v>43057</v>
      </c>
      <c r="C263" t="str">
        <f>"0001203918111709190148494"</f>
        <v>0001203918111709190148494</v>
      </c>
      <c r="D263" t="s">
        <v>110</v>
      </c>
      <c r="F263">
        <v>23</v>
      </c>
      <c r="G263" s="1">
        <v>509569.07</v>
      </c>
    </row>
    <row r="264" spans="1:7" x14ac:dyDescent="0.25">
      <c r="A264" s="2">
        <v>43057</v>
      </c>
      <c r="B264" s="2">
        <v>43057</v>
      </c>
      <c r="C264" t="str">
        <f>"0001200218111710140074916"</f>
        <v>0001200218111710140074916</v>
      </c>
      <c r="D264" t="s">
        <v>1078</v>
      </c>
      <c r="E264" s="1">
        <v>30296.1</v>
      </c>
      <c r="G264" s="1">
        <v>479272.97</v>
      </c>
    </row>
    <row r="265" spans="1:7" x14ac:dyDescent="0.25">
      <c r="A265" s="2">
        <v>43059</v>
      </c>
      <c r="B265" s="2">
        <v>43059</v>
      </c>
      <c r="C265" t="str">
        <f>"0001200208111715050067030"</f>
        <v>0001200208111715050067030</v>
      </c>
      <c r="D265" t="s">
        <v>1079</v>
      </c>
      <c r="F265" s="1">
        <v>1009</v>
      </c>
      <c r="G265" s="1">
        <v>1244830.8</v>
      </c>
    </row>
    <row r="266" spans="1:7" x14ac:dyDescent="0.25">
      <c r="A266" s="2">
        <v>43059</v>
      </c>
      <c r="B266" s="2">
        <v>43059</v>
      </c>
      <c r="C266" t="str">
        <f>"0001200208111715060067033"</f>
        <v>0001200208111715060067033</v>
      </c>
      <c r="D266" t="s">
        <v>1080</v>
      </c>
      <c r="F266" s="1">
        <v>2269</v>
      </c>
      <c r="G266" s="1">
        <v>1247099.8</v>
      </c>
    </row>
    <row r="267" spans="1:7" x14ac:dyDescent="0.25">
      <c r="A267" s="2">
        <v>43059</v>
      </c>
      <c r="B267" s="2">
        <v>43059</v>
      </c>
      <c r="C267" t="str">
        <f>"0001200208111715060067038"</f>
        <v>0001200208111715060067038</v>
      </c>
      <c r="D267" t="s">
        <v>1081</v>
      </c>
      <c r="F267" s="1">
        <v>8974</v>
      </c>
      <c r="G267" s="1">
        <v>1256073.8</v>
      </c>
    </row>
    <row r="268" spans="1:7" x14ac:dyDescent="0.25">
      <c r="A268" s="2">
        <v>43059</v>
      </c>
      <c r="B268" s="2">
        <v>43059</v>
      </c>
      <c r="C268" t="str">
        <f>"S067321013F101|103"</f>
        <v>S067321013F101|103</v>
      </c>
      <c r="D268" t="s">
        <v>1082</v>
      </c>
      <c r="F268" s="1">
        <v>51961</v>
      </c>
      <c r="G268" s="1">
        <v>531233.97</v>
      </c>
    </row>
    <row r="269" spans="1:7" x14ac:dyDescent="0.25">
      <c r="A269" s="2">
        <v>43059</v>
      </c>
      <c r="B269" s="2">
        <v>43059</v>
      </c>
      <c r="C269" t="str">
        <f>"S067321148F001|103"</f>
        <v>S067321148F001|103</v>
      </c>
      <c r="D269" t="s">
        <v>1083</v>
      </c>
      <c r="F269">
        <v>25</v>
      </c>
      <c r="G269" s="1">
        <v>531258.97</v>
      </c>
    </row>
    <row r="270" spans="1:7" x14ac:dyDescent="0.25">
      <c r="A270" s="2">
        <v>43059</v>
      </c>
      <c r="B270" s="2">
        <v>43059</v>
      </c>
      <c r="C270" t="str">
        <f>"3732400656|103"</f>
        <v>3732400656|103</v>
      </c>
      <c r="D270" t="s">
        <v>1084</v>
      </c>
      <c r="F270" s="1">
        <v>21585</v>
      </c>
      <c r="G270" s="1">
        <v>552843.97</v>
      </c>
    </row>
    <row r="271" spans="1:7" x14ac:dyDescent="0.25">
      <c r="A271" s="2">
        <v>43059</v>
      </c>
      <c r="B271" s="2">
        <v>43059</v>
      </c>
      <c r="C271" t="str">
        <f>"S067321148F001|103"</f>
        <v>S067321148F001|103</v>
      </c>
      <c r="D271" t="s">
        <v>1085</v>
      </c>
      <c r="E271">
        <v>4</v>
      </c>
      <c r="G271" s="1">
        <v>552839.97</v>
      </c>
    </row>
    <row r="272" spans="1:7" x14ac:dyDescent="0.25">
      <c r="A272" s="2">
        <v>43059</v>
      </c>
      <c r="B272" s="2">
        <v>43059</v>
      </c>
      <c r="C272" t="str">
        <f>"SE07801711201910|103"</f>
        <v>SE07801711201910|103</v>
      </c>
      <c r="D272" t="s">
        <v>1086</v>
      </c>
      <c r="F272" s="1">
        <v>33619</v>
      </c>
      <c r="G272" s="1">
        <v>586458.97</v>
      </c>
    </row>
    <row r="273" spans="1:7" x14ac:dyDescent="0.25">
      <c r="A273" s="2">
        <v>43059</v>
      </c>
      <c r="B273" s="2">
        <v>43059</v>
      </c>
      <c r="C273" t="str">
        <f>"0001200220111715130075641"</f>
        <v>0001200220111715130075641</v>
      </c>
      <c r="D273" t="s">
        <v>110</v>
      </c>
      <c r="F273">
        <v>856</v>
      </c>
      <c r="G273" s="1">
        <v>599686.97</v>
      </c>
    </row>
    <row r="274" spans="1:7" x14ac:dyDescent="0.25">
      <c r="A274" s="2">
        <v>43059</v>
      </c>
      <c r="B274" s="2">
        <v>43059</v>
      </c>
      <c r="C274" t="str">
        <f>"0001200220111715130075643"</f>
        <v>0001200220111715130075643</v>
      </c>
      <c r="D274" t="s">
        <v>110</v>
      </c>
      <c r="F274" s="1">
        <v>7920</v>
      </c>
      <c r="G274" s="1">
        <v>607606.97</v>
      </c>
    </row>
    <row r="275" spans="1:7" x14ac:dyDescent="0.25">
      <c r="A275" s="2">
        <v>43059</v>
      </c>
      <c r="B275" s="2">
        <v>43059</v>
      </c>
      <c r="C275" t="str">
        <f>"0001200220111715140075645"</f>
        <v>0001200220111715140075645</v>
      </c>
      <c r="D275" t="s">
        <v>110</v>
      </c>
      <c r="F275">
        <v>792</v>
      </c>
      <c r="G275" s="1">
        <v>608398.97</v>
      </c>
    </row>
    <row r="276" spans="1:7" x14ac:dyDescent="0.25">
      <c r="A276" s="2">
        <v>43059</v>
      </c>
      <c r="B276" s="2">
        <v>43059</v>
      </c>
      <c r="C276" t="str">
        <f>"0001200220111715160075652"</f>
        <v>0001200220111715160075652</v>
      </c>
      <c r="D276" t="s">
        <v>734</v>
      </c>
      <c r="E276" s="1">
        <v>7920</v>
      </c>
      <c r="G276" s="1">
        <v>600478.97</v>
      </c>
    </row>
    <row r="277" spans="1:7" x14ac:dyDescent="0.25">
      <c r="A277" s="2">
        <v>43060</v>
      </c>
      <c r="B277" s="2">
        <v>43060</v>
      </c>
      <c r="C277" t="str">
        <f>"00106962  "</f>
        <v xml:space="preserve">00106962  </v>
      </c>
      <c r="D277" t="s">
        <v>1087</v>
      </c>
      <c r="E277" s="1">
        <v>7234.22</v>
      </c>
      <c r="G277" s="1">
        <v>593244.75</v>
      </c>
    </row>
    <row r="278" spans="1:7" x14ac:dyDescent="0.25">
      <c r="A278" s="2">
        <v>43060</v>
      </c>
      <c r="B278" s="2">
        <v>43060</v>
      </c>
      <c r="C278" t="str">
        <f>"00106903  "</f>
        <v xml:space="preserve">00106903  </v>
      </c>
      <c r="D278" t="s">
        <v>1088</v>
      </c>
      <c r="E278" s="1">
        <v>7177.42</v>
      </c>
      <c r="G278" s="1">
        <v>586067.32999999996</v>
      </c>
    </row>
    <row r="279" spans="1:7" x14ac:dyDescent="0.25">
      <c r="A279" s="2">
        <v>43060</v>
      </c>
      <c r="B279" s="2">
        <v>43060</v>
      </c>
      <c r="C279" t="str">
        <f>"SE07801711210106|103"</f>
        <v>SE07801711210106|103</v>
      </c>
      <c r="D279" t="s">
        <v>1089</v>
      </c>
      <c r="F279">
        <v>461</v>
      </c>
      <c r="G279" s="1">
        <v>586528.32999999996</v>
      </c>
    </row>
    <row r="280" spans="1:7" x14ac:dyDescent="0.25">
      <c r="A280" s="2">
        <v>43060</v>
      </c>
      <c r="B280" s="2">
        <v>43060</v>
      </c>
      <c r="C280" t="str">
        <f>"3732500268|103"</f>
        <v>3732500268|103</v>
      </c>
      <c r="D280" t="s">
        <v>1090</v>
      </c>
      <c r="F280" s="1">
        <v>11114</v>
      </c>
      <c r="G280" s="1">
        <v>597642.32999999996</v>
      </c>
    </row>
    <row r="281" spans="1:7" x14ac:dyDescent="0.25">
      <c r="A281" s="2">
        <v>43060</v>
      </c>
      <c r="B281" s="2">
        <v>43060</v>
      </c>
      <c r="C281" t="str">
        <f>"3732500633|103"</f>
        <v>3732500633|103</v>
      </c>
      <c r="D281" t="s">
        <v>1091</v>
      </c>
      <c r="F281" s="1">
        <v>1968</v>
      </c>
      <c r="G281" s="1">
        <v>599610.32999999996</v>
      </c>
    </row>
    <row r="282" spans="1:7" x14ac:dyDescent="0.25">
      <c r="A282" s="2">
        <v>43060</v>
      </c>
      <c r="B282" s="2">
        <v>43060</v>
      </c>
      <c r="C282" t="str">
        <f>"00000000"</f>
        <v>00000000</v>
      </c>
      <c r="D282" t="s">
        <v>1092</v>
      </c>
      <c r="E282">
        <v>1</v>
      </c>
      <c r="G282" s="1">
        <v>599609.32999999996</v>
      </c>
    </row>
    <row r="283" spans="1:7" x14ac:dyDescent="0.25">
      <c r="A283" s="2">
        <v>43060</v>
      </c>
      <c r="B283" s="2">
        <v>43060</v>
      </c>
      <c r="C283" t="str">
        <f>"00000000"</f>
        <v>00000000</v>
      </c>
      <c r="D283" t="s">
        <v>1093</v>
      </c>
      <c r="E283">
        <v>1</v>
      </c>
      <c r="G283" s="1">
        <v>599608.32999999996</v>
      </c>
    </row>
    <row r="284" spans="1:7" x14ac:dyDescent="0.25">
      <c r="A284" s="2">
        <v>43060</v>
      </c>
      <c r="B284" s="2">
        <v>43060</v>
      </c>
      <c r="C284" t="str">
        <f>"0001201221111715010028105"</f>
        <v>0001201221111715010028105</v>
      </c>
      <c r="D284" t="s">
        <v>1094</v>
      </c>
      <c r="F284">
        <v>406</v>
      </c>
      <c r="G284" s="1">
        <v>600014.32999999996</v>
      </c>
    </row>
    <row r="285" spans="1:7" x14ac:dyDescent="0.25">
      <c r="A285" s="2">
        <v>43060</v>
      </c>
      <c r="B285" s="2">
        <v>43060</v>
      </c>
      <c r="C285" t="str">
        <f>"0001200221111715230076373"</f>
        <v>0001200221111715230076373</v>
      </c>
      <c r="D285" t="s">
        <v>110</v>
      </c>
      <c r="F285" s="1">
        <v>5300</v>
      </c>
      <c r="G285" s="1">
        <v>605314.32999999996</v>
      </c>
    </row>
    <row r="286" spans="1:7" x14ac:dyDescent="0.25">
      <c r="A286" s="2">
        <v>43060</v>
      </c>
      <c r="B286" s="2">
        <v>43070</v>
      </c>
      <c r="C286" t="str">
        <f>"0001200221111715350076401"</f>
        <v>0001200221111715350076401</v>
      </c>
      <c r="D286" t="s">
        <v>1095</v>
      </c>
      <c r="F286">
        <v>520</v>
      </c>
      <c r="G286" s="1">
        <v>605834.32999999996</v>
      </c>
    </row>
    <row r="287" spans="1:7" x14ac:dyDescent="0.25">
      <c r="A287" s="2">
        <v>43060</v>
      </c>
      <c r="B287" s="2">
        <v>43060</v>
      </c>
      <c r="C287" t="str">
        <f>"0001209921111715320580422"</f>
        <v>0001209921111715320580422</v>
      </c>
      <c r="D287" t="s">
        <v>1096</v>
      </c>
      <c r="E287">
        <v>726.99</v>
      </c>
      <c r="G287" s="1">
        <v>613171.34</v>
      </c>
    </row>
    <row r="288" spans="1:7" x14ac:dyDescent="0.25">
      <c r="A288" s="2">
        <v>43060</v>
      </c>
      <c r="B288" s="2">
        <v>43060</v>
      </c>
      <c r="C288" t="str">
        <f>"0001209921111715320580422"</f>
        <v>0001209921111715320580422</v>
      </c>
      <c r="D288" t="s">
        <v>248</v>
      </c>
      <c r="E288">
        <v>14.48</v>
      </c>
      <c r="G288" s="1">
        <v>613156.86</v>
      </c>
    </row>
    <row r="289" spans="1:7" x14ac:dyDescent="0.25">
      <c r="A289" s="2">
        <v>43060</v>
      </c>
      <c r="B289" s="2">
        <v>43060</v>
      </c>
      <c r="C289" t="str">
        <f>"0001209921111715320580422"</f>
        <v>0001209921111715320580422</v>
      </c>
      <c r="D289" t="s">
        <v>249</v>
      </c>
      <c r="E289">
        <v>1.45</v>
      </c>
      <c r="G289" s="1">
        <v>613155.41</v>
      </c>
    </row>
    <row r="290" spans="1:7" x14ac:dyDescent="0.25">
      <c r="A290" s="2">
        <v>43060</v>
      </c>
      <c r="B290" s="2">
        <v>43070</v>
      </c>
      <c r="C290" t="str">
        <f>"0001200221111716140076483"</f>
        <v>0001200221111716140076483</v>
      </c>
      <c r="D290" t="s">
        <v>244</v>
      </c>
      <c r="E290">
        <v>520</v>
      </c>
      <c r="G290" s="1">
        <v>612635.41</v>
      </c>
    </row>
    <row r="291" spans="1:7" x14ac:dyDescent="0.25">
      <c r="A291" s="2">
        <v>43060</v>
      </c>
      <c r="B291" s="2">
        <v>43060</v>
      </c>
      <c r="C291" t="str">
        <f>"SE07801711212062|103"</f>
        <v>SE07801711212062|103</v>
      </c>
      <c r="D291" t="s">
        <v>1097</v>
      </c>
      <c r="F291" s="1">
        <v>4697</v>
      </c>
      <c r="G291" s="1">
        <v>617332.41</v>
      </c>
    </row>
    <row r="292" spans="1:7" x14ac:dyDescent="0.25">
      <c r="A292" s="2">
        <v>43060</v>
      </c>
      <c r="B292" s="2">
        <v>43060</v>
      </c>
      <c r="C292" t="str">
        <f>"3732501646|103"</f>
        <v>3732501646|103</v>
      </c>
      <c r="D292" t="s">
        <v>1098</v>
      </c>
      <c r="F292" s="1">
        <v>45822</v>
      </c>
      <c r="G292" s="1">
        <v>663154.41</v>
      </c>
    </row>
    <row r="293" spans="1:7" x14ac:dyDescent="0.25">
      <c r="A293" s="2">
        <v>43061</v>
      </c>
      <c r="B293" s="2">
        <v>43061</v>
      </c>
      <c r="C293" t="str">
        <f>"0001200210111715330069916"</f>
        <v>0001200210111715330069916</v>
      </c>
      <c r="D293" t="s">
        <v>1099</v>
      </c>
      <c r="F293" s="1">
        <v>1085</v>
      </c>
      <c r="G293" s="1">
        <v>1958148.96</v>
      </c>
    </row>
    <row r="294" spans="1:7" x14ac:dyDescent="0.25">
      <c r="A294" s="2">
        <v>43061</v>
      </c>
      <c r="B294" s="2">
        <v>43061</v>
      </c>
      <c r="C294" t="str">
        <f>"2017112100084528|103"</f>
        <v>2017112100084528|103</v>
      </c>
      <c r="D294" t="s">
        <v>1100</v>
      </c>
      <c r="E294">
        <v>10</v>
      </c>
      <c r="G294" s="1">
        <v>663144.41</v>
      </c>
    </row>
    <row r="295" spans="1:7" x14ac:dyDescent="0.25">
      <c r="A295" s="2">
        <v>43061</v>
      </c>
      <c r="B295" s="2">
        <v>43061</v>
      </c>
      <c r="C295" t="str">
        <f>"2017112100084528|103"</f>
        <v>2017112100084528|103</v>
      </c>
      <c r="D295" t="s">
        <v>1101</v>
      </c>
      <c r="F295" s="1">
        <v>3070</v>
      </c>
      <c r="G295" s="1">
        <v>666214.41</v>
      </c>
    </row>
    <row r="296" spans="1:7" x14ac:dyDescent="0.25">
      <c r="A296" s="2">
        <v>43061</v>
      </c>
      <c r="B296" s="2">
        <v>43061</v>
      </c>
      <c r="C296" t="str">
        <f>"0001200222111715010077084"</f>
        <v>0001200222111715010077084</v>
      </c>
      <c r="D296" t="s">
        <v>110</v>
      </c>
      <c r="F296">
        <v>60</v>
      </c>
      <c r="G296" s="1">
        <v>666274.41</v>
      </c>
    </row>
    <row r="297" spans="1:7" x14ac:dyDescent="0.25">
      <c r="A297" s="2">
        <v>43061</v>
      </c>
      <c r="B297" s="2">
        <v>43061</v>
      </c>
      <c r="C297" t="str">
        <f>"0001200222111715020077085"</f>
        <v>0001200222111715020077085</v>
      </c>
      <c r="D297" t="s">
        <v>110</v>
      </c>
      <c r="F297">
        <v>33</v>
      </c>
      <c r="G297" s="1">
        <v>666307.41</v>
      </c>
    </row>
    <row r="298" spans="1:7" x14ac:dyDescent="0.25">
      <c r="A298" s="2">
        <v>43061</v>
      </c>
      <c r="B298" s="2">
        <v>43061</v>
      </c>
      <c r="C298" t="str">
        <f>"0001200222111715030077086"</f>
        <v>0001200222111715030077086</v>
      </c>
      <c r="D298" t="s">
        <v>110</v>
      </c>
      <c r="F298">
        <v>373</v>
      </c>
      <c r="G298" s="1">
        <v>666680.41</v>
      </c>
    </row>
    <row r="299" spans="1:7" x14ac:dyDescent="0.25">
      <c r="A299" s="2">
        <v>43061</v>
      </c>
      <c r="B299" s="2">
        <v>43061</v>
      </c>
      <c r="C299" t="str">
        <f>"FT173260VX4T|103"</f>
        <v>FT173260VX4T|103</v>
      </c>
      <c r="D299" t="s">
        <v>1102</v>
      </c>
      <c r="F299" s="1">
        <v>1744</v>
      </c>
      <c r="G299" s="1">
        <v>668424.41</v>
      </c>
    </row>
    <row r="300" spans="1:7" x14ac:dyDescent="0.25">
      <c r="A300" s="2">
        <v>43061</v>
      </c>
      <c r="B300" s="2">
        <v>43061</v>
      </c>
      <c r="C300" t="str">
        <f>"00000000"</f>
        <v>00000000</v>
      </c>
      <c r="D300" t="s">
        <v>1103</v>
      </c>
      <c r="E300">
        <v>1</v>
      </c>
      <c r="G300" s="1">
        <v>668423.41</v>
      </c>
    </row>
    <row r="301" spans="1:7" x14ac:dyDescent="0.25">
      <c r="A301" s="2">
        <v>43061</v>
      </c>
      <c r="B301" s="2">
        <v>43061</v>
      </c>
      <c r="C301" t="str">
        <f>"00000000"</f>
        <v>00000000</v>
      </c>
      <c r="D301" t="s">
        <v>1103</v>
      </c>
      <c r="E301">
        <v>10</v>
      </c>
      <c r="G301" s="1">
        <v>668413.41</v>
      </c>
    </row>
    <row r="302" spans="1:7" x14ac:dyDescent="0.25">
      <c r="A302" s="2">
        <v>43061</v>
      </c>
      <c r="B302" s="2">
        <v>43061</v>
      </c>
      <c r="C302" t="str">
        <f>"00000000"</f>
        <v>00000000</v>
      </c>
      <c r="D302" t="s">
        <v>1103</v>
      </c>
      <c r="F302" s="1">
        <v>1336</v>
      </c>
      <c r="G302" s="1">
        <v>669749.41</v>
      </c>
    </row>
    <row r="303" spans="1:7" x14ac:dyDescent="0.25">
      <c r="A303" s="2">
        <v>43061</v>
      </c>
      <c r="B303" s="2">
        <v>43061</v>
      </c>
      <c r="C303" t="str">
        <f>"00000000"</f>
        <v>00000000</v>
      </c>
      <c r="D303" t="s">
        <v>1104</v>
      </c>
      <c r="E303">
        <v>0.4</v>
      </c>
      <c r="G303" s="1">
        <v>669749.01</v>
      </c>
    </row>
    <row r="304" spans="1:7" x14ac:dyDescent="0.25">
      <c r="A304" s="2">
        <v>43062</v>
      </c>
      <c r="B304" s="2">
        <v>43062</v>
      </c>
      <c r="C304" t="str">
        <f>"0001200213111715350071310"</f>
        <v>0001200213111715350071310</v>
      </c>
      <c r="D304" t="s">
        <v>1105</v>
      </c>
      <c r="F304" s="1">
        <v>5221.3500000000004</v>
      </c>
      <c r="G304" s="1">
        <v>1969133.52</v>
      </c>
    </row>
    <row r="305" spans="1:7" x14ac:dyDescent="0.25">
      <c r="A305" s="2">
        <v>43062</v>
      </c>
      <c r="B305" s="2">
        <v>43062</v>
      </c>
      <c r="C305" t="str">
        <f>"0001200213111715370071315"</f>
        <v>0001200213111715370071315</v>
      </c>
      <c r="D305" t="s">
        <v>1106</v>
      </c>
      <c r="F305" s="1">
        <v>2370</v>
      </c>
      <c r="G305" s="1">
        <v>1971503.52</v>
      </c>
    </row>
    <row r="306" spans="1:7" x14ac:dyDescent="0.25">
      <c r="A306" s="2">
        <v>43062</v>
      </c>
      <c r="B306" s="2">
        <v>43062</v>
      </c>
      <c r="C306" t="str">
        <f>"0001200223111711280077559"</f>
        <v>0001200223111711280077559</v>
      </c>
      <c r="D306" t="s">
        <v>211</v>
      </c>
      <c r="E306" s="1">
        <v>2401</v>
      </c>
      <c r="G306" s="1">
        <v>667348.01</v>
      </c>
    </row>
    <row r="307" spans="1:7" x14ac:dyDescent="0.25">
      <c r="A307" s="2">
        <v>43062</v>
      </c>
      <c r="B307" s="2">
        <v>43062</v>
      </c>
      <c r="C307" t="str">
        <f>"3732700625|103"</f>
        <v>3732700625|103</v>
      </c>
      <c r="D307" t="s">
        <v>1107</v>
      </c>
      <c r="F307" s="1">
        <v>15017</v>
      </c>
      <c r="G307" s="1">
        <v>682365.01</v>
      </c>
    </row>
    <row r="308" spans="1:7" x14ac:dyDescent="0.25">
      <c r="A308" s="2">
        <v>43062</v>
      </c>
      <c r="B308" s="2">
        <v>43062</v>
      </c>
      <c r="C308" t="str">
        <f>"3732602789|103"</f>
        <v>3732602789|103</v>
      </c>
      <c r="D308" t="s">
        <v>1108</v>
      </c>
      <c r="F308" s="1">
        <v>1034</v>
      </c>
      <c r="G308" s="1">
        <v>683399.01</v>
      </c>
    </row>
    <row r="309" spans="1:7" x14ac:dyDescent="0.25">
      <c r="A309" s="2">
        <v>43062</v>
      </c>
      <c r="B309" s="2">
        <v>43062</v>
      </c>
      <c r="C309" t="str">
        <f>"0001200223111711520077584"</f>
        <v>0001200223111711520077584</v>
      </c>
      <c r="D309" t="s">
        <v>1109</v>
      </c>
      <c r="F309" s="1">
        <v>7234.2</v>
      </c>
      <c r="G309" s="1">
        <v>690633.21</v>
      </c>
    </row>
    <row r="310" spans="1:7" x14ac:dyDescent="0.25">
      <c r="A310" s="2">
        <v>43062</v>
      </c>
      <c r="B310" s="2">
        <v>43062</v>
      </c>
      <c r="C310" t="str">
        <f>"0001209923111715300581263"</f>
        <v>0001209923111715300581263</v>
      </c>
      <c r="D310" t="s">
        <v>1110</v>
      </c>
      <c r="E310" s="1">
        <v>1237.99</v>
      </c>
      <c r="G310" s="1">
        <v>689395.22</v>
      </c>
    </row>
    <row r="311" spans="1:7" x14ac:dyDescent="0.25">
      <c r="A311" s="2">
        <v>43062</v>
      </c>
      <c r="B311" s="2">
        <v>43062</v>
      </c>
      <c r="C311" t="str">
        <f>"0001209923111715300581263"</f>
        <v>0001209923111715300581263</v>
      </c>
      <c r="D311" t="s">
        <v>248</v>
      </c>
      <c r="E311">
        <v>14.5</v>
      </c>
      <c r="G311" s="1">
        <v>689380.72</v>
      </c>
    </row>
    <row r="312" spans="1:7" x14ac:dyDescent="0.25">
      <c r="A312" s="2">
        <v>43062</v>
      </c>
      <c r="B312" s="2">
        <v>43062</v>
      </c>
      <c r="C312" t="str">
        <f>"0001209923111715300581263"</f>
        <v>0001209923111715300581263</v>
      </c>
      <c r="D312" t="s">
        <v>249</v>
      </c>
      <c r="E312">
        <v>1.45</v>
      </c>
      <c r="G312" s="1">
        <v>689379.27</v>
      </c>
    </row>
    <row r="313" spans="1:7" x14ac:dyDescent="0.25">
      <c r="A313" s="2">
        <v>43062</v>
      </c>
      <c r="B313" s="2">
        <v>43062</v>
      </c>
      <c r="C313" t="str">
        <f>"00000000"</f>
        <v>00000000</v>
      </c>
      <c r="D313" t="s">
        <v>1111</v>
      </c>
      <c r="E313">
        <v>1</v>
      </c>
      <c r="G313" s="1">
        <v>689378.27</v>
      </c>
    </row>
    <row r="314" spans="1:7" x14ac:dyDescent="0.25">
      <c r="A314" s="2">
        <v>43062</v>
      </c>
      <c r="B314" s="2">
        <v>43062</v>
      </c>
      <c r="C314" t="str">
        <f>"0001200223111716020077938"</f>
        <v>0001200223111716020077938</v>
      </c>
      <c r="D314" t="s">
        <v>110</v>
      </c>
      <c r="F314" s="1">
        <v>1032</v>
      </c>
      <c r="G314" s="1">
        <v>690410.27</v>
      </c>
    </row>
    <row r="315" spans="1:7" x14ac:dyDescent="0.25">
      <c r="A315" s="2">
        <v>43062</v>
      </c>
      <c r="B315" s="2">
        <v>43062</v>
      </c>
      <c r="C315" t="str">
        <f>"0001200223111716020077941"</f>
        <v>0001200223111716020077941</v>
      </c>
      <c r="D315" t="s">
        <v>110</v>
      </c>
      <c r="F315">
        <v>200</v>
      </c>
      <c r="G315" s="1">
        <v>690610.27</v>
      </c>
    </row>
    <row r="316" spans="1:7" x14ac:dyDescent="0.25">
      <c r="A316" s="2">
        <v>43062</v>
      </c>
      <c r="B316" s="2">
        <v>43062</v>
      </c>
      <c r="C316" t="str">
        <f>"0001200223111716030077942"</f>
        <v>0001200223111716030077942</v>
      </c>
      <c r="D316" t="s">
        <v>110</v>
      </c>
      <c r="F316" s="1">
        <v>2044</v>
      </c>
      <c r="G316" s="1">
        <v>692654.27</v>
      </c>
    </row>
    <row r="317" spans="1:7" x14ac:dyDescent="0.25">
      <c r="A317" s="2">
        <v>43062</v>
      </c>
      <c r="B317" s="2">
        <v>43062</v>
      </c>
      <c r="C317" t="str">
        <f>"SE07801711233142|103"</f>
        <v>SE07801711233142|103</v>
      </c>
      <c r="D317" t="s">
        <v>1112</v>
      </c>
      <c r="F317" s="1">
        <v>17813</v>
      </c>
      <c r="G317" s="1">
        <v>722354.27</v>
      </c>
    </row>
    <row r="318" spans="1:7" x14ac:dyDescent="0.25">
      <c r="A318" s="2">
        <v>43063</v>
      </c>
      <c r="B318" s="2">
        <v>43063</v>
      </c>
      <c r="C318" t="str">
        <f>"0001200214111715250072116"</f>
        <v>0001200214111715250072116</v>
      </c>
      <c r="D318" t="s">
        <v>1052</v>
      </c>
      <c r="F318" s="1">
        <v>2881</v>
      </c>
      <c r="G318" s="1">
        <v>373525.04</v>
      </c>
    </row>
    <row r="319" spans="1:7" x14ac:dyDescent="0.25">
      <c r="A319" s="2">
        <v>43063</v>
      </c>
      <c r="B319" s="2">
        <v>43063</v>
      </c>
      <c r="C319" t="str">
        <f>"FT173287974P|103"</f>
        <v>FT173287974P|103</v>
      </c>
      <c r="D319" t="s">
        <v>1113</v>
      </c>
      <c r="F319">
        <v>510</v>
      </c>
      <c r="G319" s="1">
        <v>722864.27</v>
      </c>
    </row>
    <row r="320" spans="1:7" x14ac:dyDescent="0.25">
      <c r="A320" s="2">
        <v>43063</v>
      </c>
      <c r="B320" s="2">
        <v>43063</v>
      </c>
      <c r="C320" t="str">
        <f>"FT17328FNTTS|103"</f>
        <v>FT17328FNTTS|103</v>
      </c>
      <c r="D320" t="s">
        <v>1114</v>
      </c>
      <c r="F320" s="1">
        <v>2640</v>
      </c>
      <c r="G320" s="1">
        <v>725504.27</v>
      </c>
    </row>
    <row r="321" spans="1:7" x14ac:dyDescent="0.25">
      <c r="A321" s="2">
        <v>43063</v>
      </c>
      <c r="B321" s="2">
        <v>43063</v>
      </c>
      <c r="C321" t="str">
        <f>"FT173288LBM4|103"</f>
        <v>FT173288LBM4|103</v>
      </c>
      <c r="D321" t="s">
        <v>1115</v>
      </c>
      <c r="F321" s="1">
        <v>3950</v>
      </c>
      <c r="G321" s="1">
        <v>729454.27</v>
      </c>
    </row>
    <row r="322" spans="1:7" x14ac:dyDescent="0.25">
      <c r="A322" s="2">
        <v>43063</v>
      </c>
      <c r="B322" s="2">
        <v>43063</v>
      </c>
      <c r="C322" t="str">
        <f>"FT173271Q22C|103"</f>
        <v>FT173271Q22C|103</v>
      </c>
      <c r="D322" t="s">
        <v>1116</v>
      </c>
      <c r="F322" s="1">
        <v>8855</v>
      </c>
      <c r="G322" s="1">
        <v>738309.27</v>
      </c>
    </row>
    <row r="323" spans="1:7" x14ac:dyDescent="0.25">
      <c r="A323" s="2">
        <v>43063</v>
      </c>
      <c r="B323" s="2">
        <v>43063</v>
      </c>
      <c r="C323" t="str">
        <f>"3732703457|103"</f>
        <v>3732703457|103</v>
      </c>
      <c r="D323" t="s">
        <v>1117</v>
      </c>
      <c r="F323" s="1">
        <v>1990</v>
      </c>
      <c r="G323" s="1">
        <v>740299.27</v>
      </c>
    </row>
    <row r="324" spans="1:7" x14ac:dyDescent="0.25">
      <c r="A324" s="2">
        <v>43063</v>
      </c>
      <c r="B324" s="2">
        <v>43063</v>
      </c>
      <c r="C324" t="str">
        <f>"3732703357|103"</f>
        <v>3732703357|103</v>
      </c>
      <c r="D324" t="s">
        <v>1118</v>
      </c>
      <c r="F324" s="1">
        <v>17430</v>
      </c>
      <c r="G324" s="1">
        <v>757729.27</v>
      </c>
    </row>
    <row r="325" spans="1:7" x14ac:dyDescent="0.25">
      <c r="A325" s="2">
        <v>43063</v>
      </c>
      <c r="B325" s="2">
        <v>43063</v>
      </c>
      <c r="C325" t="str">
        <f>"3732703359|103"</f>
        <v>3732703359|103</v>
      </c>
      <c r="D325" t="s">
        <v>1119</v>
      </c>
      <c r="F325" s="1">
        <v>1533.3</v>
      </c>
      <c r="G325" s="1">
        <v>759262.57</v>
      </c>
    </row>
    <row r="326" spans="1:7" x14ac:dyDescent="0.25">
      <c r="A326" s="2">
        <v>43063</v>
      </c>
      <c r="B326" s="2">
        <v>43063</v>
      </c>
      <c r="C326" t="str">
        <f>"S0673282162401|103"</f>
        <v>S0673282162401|103</v>
      </c>
      <c r="D326" t="s">
        <v>1120</v>
      </c>
      <c r="F326" s="1">
        <v>5137</v>
      </c>
      <c r="G326" s="1">
        <v>764399.57</v>
      </c>
    </row>
    <row r="327" spans="1:7" x14ac:dyDescent="0.25">
      <c r="A327" s="2">
        <v>43063</v>
      </c>
      <c r="B327" s="2">
        <v>43063</v>
      </c>
      <c r="C327" t="str">
        <f>"FT17328GTZG7|103"</f>
        <v>FT17328GTZG7|103</v>
      </c>
      <c r="D327" t="s">
        <v>1121</v>
      </c>
      <c r="F327" s="1">
        <v>10559</v>
      </c>
      <c r="G327" s="1">
        <v>774958.57</v>
      </c>
    </row>
    <row r="328" spans="1:7" x14ac:dyDescent="0.25">
      <c r="A328" s="2">
        <v>43063</v>
      </c>
      <c r="B328" s="2">
        <v>43063</v>
      </c>
      <c r="C328" t="str">
        <f>"IR07801711241614|103"</f>
        <v>IR07801711241614|103</v>
      </c>
      <c r="D328" t="s">
        <v>1122</v>
      </c>
      <c r="F328" s="1">
        <v>1240</v>
      </c>
      <c r="G328" s="1">
        <v>776198.57</v>
      </c>
    </row>
    <row r="329" spans="1:7" x14ac:dyDescent="0.25">
      <c r="A329" s="2">
        <v>43063</v>
      </c>
      <c r="B329" s="2">
        <v>43063</v>
      </c>
      <c r="C329" t="str">
        <f>"013RTGS173280002|103"</f>
        <v>013RTGS173280002|103</v>
      </c>
      <c r="D329" t="s">
        <v>1123</v>
      </c>
      <c r="F329" s="1">
        <v>34135</v>
      </c>
      <c r="G329" s="1">
        <v>826301.57</v>
      </c>
    </row>
    <row r="330" spans="1:7" x14ac:dyDescent="0.25">
      <c r="A330" s="2">
        <v>43065</v>
      </c>
      <c r="B330" s="2">
        <v>43065</v>
      </c>
      <c r="C330" t="str">
        <f>"0001203926111707030164355"</f>
        <v>0001203926111707030164355</v>
      </c>
      <c r="D330" t="s">
        <v>1124</v>
      </c>
      <c r="F330">
        <v>23</v>
      </c>
      <c r="G330" s="1">
        <v>826324.57</v>
      </c>
    </row>
    <row r="331" spans="1:7" x14ac:dyDescent="0.25">
      <c r="A331" s="2">
        <v>43066</v>
      </c>
      <c r="B331" s="2">
        <v>43066</v>
      </c>
      <c r="C331" t="str">
        <f>"0001200216111716060073780"</f>
        <v>0001200216111716060073780</v>
      </c>
      <c r="D331" t="s">
        <v>1125</v>
      </c>
      <c r="F331" s="1">
        <v>3566</v>
      </c>
      <c r="G331" s="1">
        <v>442567.58</v>
      </c>
    </row>
    <row r="332" spans="1:7" x14ac:dyDescent="0.25">
      <c r="A332" s="2">
        <v>43066</v>
      </c>
      <c r="B332" s="2">
        <v>43066</v>
      </c>
      <c r="C332" t="str">
        <f>"0001200216111716070073786"</f>
        <v>0001200216111716070073786</v>
      </c>
      <c r="D332" t="s">
        <v>1126</v>
      </c>
      <c r="F332" s="1">
        <v>2589</v>
      </c>
      <c r="G332" s="1">
        <v>445156.58</v>
      </c>
    </row>
    <row r="333" spans="1:7" x14ac:dyDescent="0.25">
      <c r="A333" s="2">
        <v>43066</v>
      </c>
      <c r="B333" s="2">
        <v>43064</v>
      </c>
      <c r="C333" t="str">
        <f>"00106940  "</f>
        <v xml:space="preserve">00106940  </v>
      </c>
      <c r="D333" t="s">
        <v>1127</v>
      </c>
      <c r="E333" s="1">
        <v>6180</v>
      </c>
      <c r="G333" s="1">
        <v>820144.57</v>
      </c>
    </row>
    <row r="334" spans="1:7" x14ac:dyDescent="0.25">
      <c r="A334" s="2">
        <v>43066</v>
      </c>
      <c r="B334" s="2">
        <v>43066</v>
      </c>
      <c r="C334" t="str">
        <f>"00106939  "</f>
        <v xml:space="preserve">00106939  </v>
      </c>
      <c r="D334" t="s">
        <v>1128</v>
      </c>
      <c r="E334" s="1">
        <v>2988.19</v>
      </c>
      <c r="G334" s="1">
        <v>817156.38</v>
      </c>
    </row>
    <row r="335" spans="1:7" x14ac:dyDescent="0.25">
      <c r="A335" s="2">
        <v>43066</v>
      </c>
      <c r="B335" s="2">
        <v>43066</v>
      </c>
      <c r="C335" t="str">
        <f>"0580700328JM|103"</f>
        <v>0580700328JM|103</v>
      </c>
      <c r="D335" t="s">
        <v>1129</v>
      </c>
      <c r="E335">
        <v>10</v>
      </c>
      <c r="G335" s="1">
        <v>817146.38</v>
      </c>
    </row>
    <row r="336" spans="1:7" x14ac:dyDescent="0.25">
      <c r="A336" s="2">
        <v>43066</v>
      </c>
      <c r="B336" s="2">
        <v>43066</v>
      </c>
      <c r="C336" t="str">
        <f>"0580700328JM|103"</f>
        <v>0580700328JM|103</v>
      </c>
      <c r="D336" t="s">
        <v>1130</v>
      </c>
      <c r="F336" s="1">
        <v>4097</v>
      </c>
      <c r="G336" s="1">
        <v>821243.38</v>
      </c>
    </row>
    <row r="337" spans="1:7" x14ac:dyDescent="0.25">
      <c r="A337" s="2">
        <v>43066</v>
      </c>
      <c r="B337" s="2">
        <v>43066</v>
      </c>
      <c r="C337" t="str">
        <f>"992711TBMA00"</f>
        <v>992711TBMA00</v>
      </c>
      <c r="D337" t="s">
        <v>1131</v>
      </c>
      <c r="E337">
        <v>10</v>
      </c>
      <c r="G337" s="1">
        <v>821233.38</v>
      </c>
    </row>
    <row r="338" spans="1:7" x14ac:dyDescent="0.25">
      <c r="A338" s="2">
        <v>43066</v>
      </c>
      <c r="B338" s="2">
        <v>43066</v>
      </c>
      <c r="C338" t="str">
        <f>"992711TBMA00"</f>
        <v>992711TBMA00</v>
      </c>
      <c r="D338" t="s">
        <v>1131</v>
      </c>
      <c r="E338">
        <v>1</v>
      </c>
      <c r="G338" s="1">
        <v>821232.38</v>
      </c>
    </row>
    <row r="339" spans="1:7" x14ac:dyDescent="0.25">
      <c r="A339" s="2">
        <v>43066</v>
      </c>
      <c r="B339" s="2">
        <v>43066</v>
      </c>
      <c r="C339" t="str">
        <f>"992711TBMA00"</f>
        <v>992711TBMA00</v>
      </c>
      <c r="D339" t="s">
        <v>1131</v>
      </c>
      <c r="F339" s="1">
        <v>41630</v>
      </c>
      <c r="G339" s="1">
        <v>862862.38</v>
      </c>
    </row>
    <row r="340" spans="1:7" x14ac:dyDescent="0.25">
      <c r="A340" s="2">
        <v>43066</v>
      </c>
      <c r="B340" s="2">
        <v>43066</v>
      </c>
      <c r="C340" t="str">
        <f>"0001200227111712420079558"</f>
        <v>0001200227111712420079558</v>
      </c>
      <c r="D340" t="s">
        <v>211</v>
      </c>
      <c r="E340" s="1">
        <v>4400</v>
      </c>
      <c r="G340" s="1">
        <v>858462.38</v>
      </c>
    </row>
    <row r="341" spans="1:7" x14ac:dyDescent="0.25">
      <c r="A341" s="2">
        <v>43066</v>
      </c>
      <c r="B341" s="2">
        <v>43066</v>
      </c>
      <c r="C341" t="str">
        <f>"FT17331VQX4R|103"</f>
        <v>FT17331VQX4R|103</v>
      </c>
      <c r="D341" t="s">
        <v>1132</v>
      </c>
      <c r="F341">
        <v>767</v>
      </c>
      <c r="G341" s="1">
        <v>859229.38</v>
      </c>
    </row>
    <row r="342" spans="1:7" x14ac:dyDescent="0.25">
      <c r="A342" s="2">
        <v>43066</v>
      </c>
      <c r="B342" s="2">
        <v>43066</v>
      </c>
      <c r="C342" t="str">
        <f>"0001200227111716310080000"</f>
        <v>0001200227111716310080000</v>
      </c>
      <c r="D342" t="s">
        <v>110</v>
      </c>
      <c r="F342">
        <v>150</v>
      </c>
      <c r="G342" s="1">
        <v>859379.38</v>
      </c>
    </row>
    <row r="343" spans="1:7" x14ac:dyDescent="0.25">
      <c r="A343" s="2">
        <v>43066</v>
      </c>
      <c r="B343" s="2">
        <v>43066</v>
      </c>
      <c r="C343" t="str">
        <f>"0001200227111716310080002"</f>
        <v>0001200227111716310080002</v>
      </c>
      <c r="D343" t="s">
        <v>110</v>
      </c>
      <c r="F343">
        <v>357</v>
      </c>
      <c r="G343" s="1">
        <v>859736.38</v>
      </c>
    </row>
    <row r="344" spans="1:7" x14ac:dyDescent="0.25">
      <c r="A344" s="2">
        <v>43066</v>
      </c>
      <c r="B344" s="2">
        <v>43066</v>
      </c>
      <c r="C344" t="str">
        <f>"0001200227111716320080004"</f>
        <v>0001200227111716320080004</v>
      </c>
      <c r="D344" t="s">
        <v>110</v>
      </c>
      <c r="F344">
        <v>25</v>
      </c>
      <c r="G344" s="1">
        <v>859761.38</v>
      </c>
    </row>
    <row r="345" spans="1:7" x14ac:dyDescent="0.25">
      <c r="A345" s="2">
        <v>43068</v>
      </c>
      <c r="B345" s="2">
        <v>43068</v>
      </c>
      <c r="C345" t="str">
        <f>"0001200217111715380074597"</f>
        <v>0001200217111715380074597</v>
      </c>
      <c r="D345" t="s">
        <v>1133</v>
      </c>
      <c r="F345">
        <v>800</v>
      </c>
      <c r="G345" s="1">
        <v>458319.97</v>
      </c>
    </row>
    <row r="346" spans="1:7" x14ac:dyDescent="0.25">
      <c r="A346" s="2">
        <v>43068</v>
      </c>
      <c r="B346" s="2">
        <v>43068</v>
      </c>
      <c r="C346" t="str">
        <f>"0001200217111715390074599"</f>
        <v>0001200217111715390074599</v>
      </c>
      <c r="D346" t="s">
        <v>1134</v>
      </c>
      <c r="F346" s="1">
        <v>1075</v>
      </c>
      <c r="G346" s="1">
        <v>459394.97</v>
      </c>
    </row>
    <row r="347" spans="1:7" x14ac:dyDescent="0.25">
      <c r="A347" s="2">
        <v>43068</v>
      </c>
      <c r="B347" s="2">
        <v>43068</v>
      </c>
      <c r="C347" t="str">
        <f>"HBKG17K28O503400|103"</f>
        <v>HBKG17K28O503400|103</v>
      </c>
      <c r="D347" t="s">
        <v>1135</v>
      </c>
      <c r="F347" s="1">
        <v>3778</v>
      </c>
      <c r="G347" s="1">
        <v>863539.38</v>
      </c>
    </row>
    <row r="348" spans="1:7" x14ac:dyDescent="0.25">
      <c r="A348" s="2">
        <v>43068</v>
      </c>
      <c r="B348" s="2">
        <v>43068</v>
      </c>
      <c r="C348" t="str">
        <f>"G0173310890801|103"</f>
        <v>G0173310890801|103</v>
      </c>
      <c r="D348" t="s">
        <v>1136</v>
      </c>
      <c r="F348" s="1">
        <v>1545</v>
      </c>
      <c r="G348" s="1">
        <v>865084.38</v>
      </c>
    </row>
    <row r="349" spans="1:7" x14ac:dyDescent="0.25">
      <c r="A349" s="2">
        <v>43068</v>
      </c>
      <c r="B349" s="2">
        <v>43068</v>
      </c>
      <c r="C349" t="str">
        <f>"022FT10173310085|103"</f>
        <v>022FT10173310085|103</v>
      </c>
      <c r="D349" t="s">
        <v>1137</v>
      </c>
      <c r="F349" s="1">
        <v>10932</v>
      </c>
      <c r="G349" s="1">
        <v>876016.38</v>
      </c>
    </row>
    <row r="350" spans="1:7" x14ac:dyDescent="0.25">
      <c r="A350" s="2">
        <v>43068</v>
      </c>
      <c r="B350" s="2">
        <v>43068</v>
      </c>
      <c r="C350" t="str">
        <f>"F3S1711230450300|103"</f>
        <v>F3S1711230450300|103</v>
      </c>
      <c r="D350" t="s">
        <v>1138</v>
      </c>
      <c r="F350" s="1">
        <v>7454</v>
      </c>
      <c r="G350" s="1">
        <v>883470.38</v>
      </c>
    </row>
    <row r="351" spans="1:7" x14ac:dyDescent="0.25">
      <c r="A351" s="2">
        <v>43068</v>
      </c>
      <c r="B351" s="2">
        <v>43068</v>
      </c>
      <c r="C351" t="str">
        <f>"IR07801711291156|103"</f>
        <v>IR07801711291156|103</v>
      </c>
      <c r="D351" t="s">
        <v>1139</v>
      </c>
      <c r="F351">
        <v>195</v>
      </c>
      <c r="G351" s="1">
        <v>883665.38</v>
      </c>
    </row>
    <row r="352" spans="1:7" x14ac:dyDescent="0.25">
      <c r="A352" s="2">
        <v>43068</v>
      </c>
      <c r="B352" s="2">
        <v>43068</v>
      </c>
      <c r="C352" t="str">
        <f>"IR07801711292356|103"</f>
        <v>IR07801711292356|103</v>
      </c>
      <c r="D352" t="s">
        <v>1140</v>
      </c>
      <c r="F352">
        <v>65</v>
      </c>
      <c r="G352" s="1">
        <v>883730.38</v>
      </c>
    </row>
    <row r="353" spans="1:7" x14ac:dyDescent="0.25">
      <c r="A353" s="2">
        <v>43068</v>
      </c>
      <c r="B353" s="2">
        <v>43068</v>
      </c>
      <c r="C353" t="str">
        <f>"G0173310890801|103"</f>
        <v>G0173310890801|103</v>
      </c>
      <c r="D353" t="s">
        <v>1141</v>
      </c>
      <c r="E353">
        <v>10</v>
      </c>
      <c r="G353" s="1">
        <v>883720.38</v>
      </c>
    </row>
    <row r="354" spans="1:7" x14ac:dyDescent="0.25">
      <c r="A354" s="2">
        <v>43068</v>
      </c>
      <c r="B354" s="2">
        <v>43068</v>
      </c>
      <c r="C354" t="str">
        <f>"SE07801711293658|103"</f>
        <v>SE07801711293658|103</v>
      </c>
      <c r="D354" t="s">
        <v>1142</v>
      </c>
      <c r="F354" s="1">
        <v>5387</v>
      </c>
      <c r="G354" s="1">
        <v>889107.38</v>
      </c>
    </row>
    <row r="355" spans="1:7" x14ac:dyDescent="0.25">
      <c r="A355" s="2">
        <v>43068</v>
      </c>
      <c r="B355" s="2">
        <v>43068</v>
      </c>
      <c r="C355" t="str">
        <f>"00000000"</f>
        <v>00000000</v>
      </c>
      <c r="D355" t="s">
        <v>1143</v>
      </c>
      <c r="E355">
        <v>1</v>
      </c>
      <c r="G355" s="1">
        <v>889106.38</v>
      </c>
    </row>
    <row r="356" spans="1:7" x14ac:dyDescent="0.25">
      <c r="A356" s="2">
        <v>43068</v>
      </c>
      <c r="B356" s="2">
        <v>43068</v>
      </c>
      <c r="C356" t="str">
        <f>"00000000"</f>
        <v>00000000</v>
      </c>
      <c r="D356" t="s">
        <v>1143</v>
      </c>
      <c r="E356">
        <v>10</v>
      </c>
      <c r="G356" s="1">
        <v>889096.38</v>
      </c>
    </row>
    <row r="357" spans="1:7" x14ac:dyDescent="0.25">
      <c r="A357" s="2">
        <v>43068</v>
      </c>
      <c r="B357" s="2">
        <v>43068</v>
      </c>
      <c r="C357" t="str">
        <f>"00000000"</f>
        <v>00000000</v>
      </c>
      <c r="D357" t="s">
        <v>1143</v>
      </c>
      <c r="F357" s="1">
        <v>24415.25</v>
      </c>
      <c r="G357" s="1">
        <v>913511.63</v>
      </c>
    </row>
    <row r="358" spans="1:7" x14ac:dyDescent="0.25">
      <c r="A358" s="2">
        <v>43069</v>
      </c>
      <c r="B358" s="2">
        <v>43069</v>
      </c>
      <c r="C358" t="str">
        <f>"0001200220111715060075619"</f>
        <v>0001200220111715060075619</v>
      </c>
      <c r="D358" t="s">
        <v>1144</v>
      </c>
      <c r="F358" s="1">
        <v>4066</v>
      </c>
      <c r="G358" s="1">
        <v>590524.97</v>
      </c>
    </row>
    <row r="359" spans="1:7" x14ac:dyDescent="0.25">
      <c r="A359" s="2">
        <v>43069</v>
      </c>
      <c r="B359" s="2">
        <v>43069</v>
      </c>
      <c r="C359" t="str">
        <f>"0001200220111715070075623"</f>
        <v>0001200220111715070075623</v>
      </c>
      <c r="D359" t="s">
        <v>1145</v>
      </c>
      <c r="F359" s="1">
        <v>3949</v>
      </c>
      <c r="G359" s="1">
        <v>594473.97</v>
      </c>
    </row>
    <row r="360" spans="1:7" x14ac:dyDescent="0.25">
      <c r="A360" s="2">
        <v>43069</v>
      </c>
      <c r="B360" s="2">
        <v>43069</v>
      </c>
      <c r="C360" t="str">
        <f>"0001200220111715080075628"</f>
        <v>0001200220111715080075628</v>
      </c>
      <c r="D360" t="s">
        <v>1146</v>
      </c>
      <c r="F360">
        <v>865</v>
      </c>
      <c r="G360" s="1">
        <v>595338.97</v>
      </c>
    </row>
    <row r="361" spans="1:7" x14ac:dyDescent="0.25">
      <c r="A361" s="2">
        <v>43069</v>
      </c>
      <c r="B361" s="2">
        <v>43069</v>
      </c>
      <c r="C361" t="str">
        <f>"0001200220111715090075633"</f>
        <v>0001200220111715090075633</v>
      </c>
      <c r="D361" t="s">
        <v>1147</v>
      </c>
      <c r="F361" s="1">
        <v>2684</v>
      </c>
      <c r="G361" s="1">
        <v>598022.97</v>
      </c>
    </row>
    <row r="362" spans="1:7" x14ac:dyDescent="0.25">
      <c r="A362" s="2">
        <v>43069</v>
      </c>
      <c r="B362" s="2">
        <v>43069</v>
      </c>
      <c r="C362" t="str">
        <f>"0001200220111715100075635"</f>
        <v>0001200220111715100075635</v>
      </c>
      <c r="D362" t="s">
        <v>1148</v>
      </c>
      <c r="F362">
        <v>808</v>
      </c>
      <c r="G362" s="1">
        <v>598830.97</v>
      </c>
    </row>
    <row r="363" spans="1:7" x14ac:dyDescent="0.25">
      <c r="A363" s="2">
        <v>43069</v>
      </c>
      <c r="B363" s="2">
        <v>43069</v>
      </c>
      <c r="C363" t="str">
        <f>"00000000"</f>
        <v>00000000</v>
      </c>
      <c r="D363" t="s">
        <v>1149</v>
      </c>
      <c r="E363">
        <v>1</v>
      </c>
      <c r="G363" s="1">
        <v>913510.63</v>
      </c>
    </row>
    <row r="364" spans="1:7" x14ac:dyDescent="0.25">
      <c r="A364" s="2">
        <v>43069</v>
      </c>
      <c r="B364" s="2">
        <v>43069</v>
      </c>
      <c r="C364" t="str">
        <f>"00000000"</f>
        <v>00000000</v>
      </c>
      <c r="D364" t="s">
        <v>1150</v>
      </c>
      <c r="E364">
        <v>1</v>
      </c>
      <c r="G364" s="1">
        <v>913509.63</v>
      </c>
    </row>
    <row r="365" spans="1:7" x14ac:dyDescent="0.25">
      <c r="A365" s="2">
        <v>43069</v>
      </c>
      <c r="B365" s="2">
        <v>43069</v>
      </c>
      <c r="C365" t="str">
        <f>"00106976  "</f>
        <v xml:space="preserve">00106976  </v>
      </c>
      <c r="D365" t="s">
        <v>1151</v>
      </c>
      <c r="E365" s="1">
        <v>2789.55</v>
      </c>
      <c r="G365" s="1">
        <v>910720.08</v>
      </c>
    </row>
    <row r="366" spans="1:7" x14ac:dyDescent="0.25">
      <c r="A366" s="2">
        <v>43069</v>
      </c>
      <c r="B366" s="2">
        <v>43069</v>
      </c>
      <c r="C366" t="str">
        <f>"00106928  "</f>
        <v xml:space="preserve">00106928  </v>
      </c>
      <c r="D366" t="s">
        <v>1152</v>
      </c>
      <c r="E366" s="1">
        <v>1248</v>
      </c>
      <c r="G366" s="1">
        <v>909472.08</v>
      </c>
    </row>
    <row r="367" spans="1:7" x14ac:dyDescent="0.25">
      <c r="A367" s="2">
        <v>43069</v>
      </c>
      <c r="B367" s="2">
        <v>43069</v>
      </c>
      <c r="C367" t="str">
        <f>"2017112900081492|103"</f>
        <v>2017112900081492|103</v>
      </c>
      <c r="D367" t="s">
        <v>1153</v>
      </c>
      <c r="F367" s="1">
        <v>4100</v>
      </c>
      <c r="G367" s="1">
        <v>913572.08</v>
      </c>
    </row>
    <row r="368" spans="1:7" x14ac:dyDescent="0.25">
      <c r="A368" s="2">
        <v>43069</v>
      </c>
      <c r="B368" s="2">
        <v>43069</v>
      </c>
      <c r="C368" t="str">
        <f>"2017112900097457|103"</f>
        <v>2017112900097457|103</v>
      </c>
      <c r="D368" t="s">
        <v>1154</v>
      </c>
      <c r="F368" s="1">
        <v>9802</v>
      </c>
      <c r="G368" s="1">
        <v>923374.07999999996</v>
      </c>
    </row>
    <row r="369" spans="1:7" x14ac:dyDescent="0.25">
      <c r="A369" s="2">
        <v>43069</v>
      </c>
      <c r="B369" s="2">
        <v>43069</v>
      </c>
      <c r="C369" t="str">
        <f>"2017112900097457|103"</f>
        <v>2017112900097457|103</v>
      </c>
      <c r="D369" t="s">
        <v>1155</v>
      </c>
      <c r="E369">
        <v>10</v>
      </c>
      <c r="G369" s="1">
        <v>923364.08</v>
      </c>
    </row>
    <row r="370" spans="1:7" x14ac:dyDescent="0.25">
      <c r="A370" s="2">
        <v>43069</v>
      </c>
      <c r="B370" s="2">
        <v>43069</v>
      </c>
      <c r="C370" t="str">
        <f>"2017112900081492|103"</f>
        <v>2017112900081492|103</v>
      </c>
      <c r="D370" t="s">
        <v>1156</v>
      </c>
      <c r="E370">
        <v>10</v>
      </c>
      <c r="G370" s="1">
        <v>923354.08</v>
      </c>
    </row>
    <row r="371" spans="1:7" x14ac:dyDescent="0.25">
      <c r="A371" s="2">
        <v>43069</v>
      </c>
      <c r="B371" s="2">
        <v>43069</v>
      </c>
      <c r="C371" t="str">
        <f>"3733402644|103"</f>
        <v>3733402644|103</v>
      </c>
      <c r="D371" t="s">
        <v>1157</v>
      </c>
      <c r="F371" s="1">
        <v>1791</v>
      </c>
      <c r="G371" s="1">
        <v>925145.08</v>
      </c>
    </row>
    <row r="372" spans="1:7" x14ac:dyDescent="0.25">
      <c r="A372" s="2">
        <v>43069</v>
      </c>
      <c r="B372" s="2">
        <v>43069</v>
      </c>
      <c r="C372" t="str">
        <f>"F51129634597000|103"</f>
        <v>F51129634597000|103</v>
      </c>
      <c r="D372" t="s">
        <v>1158</v>
      </c>
      <c r="F372" s="1">
        <v>1327</v>
      </c>
      <c r="G372" s="1">
        <v>926472.08</v>
      </c>
    </row>
    <row r="373" spans="1:7" x14ac:dyDescent="0.25">
      <c r="A373" s="2">
        <v>43069</v>
      </c>
      <c r="B373" s="2">
        <v>43069</v>
      </c>
      <c r="C373" t="str">
        <f>"F51129634597000|103"</f>
        <v>F51129634597000|103</v>
      </c>
      <c r="D373" t="s">
        <v>1159</v>
      </c>
      <c r="E373">
        <v>10</v>
      </c>
      <c r="G373" s="1">
        <v>926462.08</v>
      </c>
    </row>
    <row r="374" spans="1:7" x14ac:dyDescent="0.25">
      <c r="A374" s="2">
        <v>43069</v>
      </c>
      <c r="B374" s="2">
        <v>43069</v>
      </c>
      <c r="C374" t="str">
        <f>"0001209130111714170019405"</f>
        <v>0001209130111714170019405</v>
      </c>
      <c r="D374" t="s">
        <v>110</v>
      </c>
      <c r="F374" s="1">
        <v>1190</v>
      </c>
      <c r="G374" s="1">
        <v>927652.08</v>
      </c>
    </row>
    <row r="375" spans="1:7" x14ac:dyDescent="0.25">
      <c r="A375" s="2">
        <v>43069</v>
      </c>
      <c r="B375" s="2">
        <v>43069</v>
      </c>
      <c r="C375" t="str">
        <f>"0001209930111714270582990"</f>
        <v>0001209930111714270582990</v>
      </c>
      <c r="D375" t="s">
        <v>1160</v>
      </c>
      <c r="E375" s="1">
        <v>1078687.47</v>
      </c>
      <c r="G375" s="1">
        <v>-151035.39000000001</v>
      </c>
    </row>
    <row r="376" spans="1:7" x14ac:dyDescent="0.25">
      <c r="A376" s="2">
        <v>43069</v>
      </c>
      <c r="B376" s="2">
        <v>43069</v>
      </c>
      <c r="C376" t="str">
        <f>"0001209930111714270582990"</f>
        <v>0001209930111714270582990</v>
      </c>
      <c r="D376" t="s">
        <v>307</v>
      </c>
      <c r="E376">
        <v>4.8499999999999996</v>
      </c>
      <c r="G376" s="1">
        <v>-151040.24</v>
      </c>
    </row>
    <row r="377" spans="1:7" x14ac:dyDescent="0.25">
      <c r="A377" s="2">
        <v>43069</v>
      </c>
      <c r="B377" s="2">
        <v>43069</v>
      </c>
      <c r="C377" t="str">
        <f>"0001209930111714270582990"</f>
        <v>0001209930111714270582990</v>
      </c>
      <c r="D377" t="s">
        <v>249</v>
      </c>
      <c r="E377">
        <v>0.49</v>
      </c>
      <c r="G377" s="1">
        <v>-151040.73000000001</v>
      </c>
    </row>
    <row r="378" spans="1:7" x14ac:dyDescent="0.25">
      <c r="A378" s="2">
        <v>43069</v>
      </c>
      <c r="B378" s="2">
        <v>43069</v>
      </c>
      <c r="C378" t="str">
        <f>"0001200230111715440082188"</f>
        <v>0001200230111715440082188</v>
      </c>
      <c r="D378" t="s">
        <v>110</v>
      </c>
      <c r="F378">
        <v>781</v>
      </c>
      <c r="G378" s="1">
        <v>-150259.73000000001</v>
      </c>
    </row>
    <row r="379" spans="1:7" x14ac:dyDescent="0.25">
      <c r="A379" s="2">
        <v>43069</v>
      </c>
      <c r="B379" s="2">
        <v>43069</v>
      </c>
      <c r="C379" t="str">
        <f>"0001200230111715440082189"</f>
        <v>0001200230111715440082189</v>
      </c>
      <c r="D379" t="s">
        <v>110</v>
      </c>
      <c r="F379">
        <v>18</v>
      </c>
      <c r="G379" s="1">
        <v>-150241.73000000001</v>
      </c>
    </row>
    <row r="380" spans="1:7" x14ac:dyDescent="0.25">
      <c r="A380" s="2">
        <v>43069</v>
      </c>
      <c r="B380" s="2">
        <v>43069</v>
      </c>
      <c r="C380" t="str">
        <f>"0001200230111715440082190"</f>
        <v>0001200230111715440082190</v>
      </c>
      <c r="D380" t="s">
        <v>110</v>
      </c>
      <c r="F380">
        <v>240</v>
      </c>
      <c r="G380" s="1">
        <v>-150001.73000000001</v>
      </c>
    </row>
    <row r="381" spans="1:7" x14ac:dyDescent="0.25">
      <c r="A381" s="2">
        <v>43069</v>
      </c>
      <c r="B381" s="2">
        <v>43069</v>
      </c>
      <c r="C381" t="str">
        <f>"FT17334SV17T|103"</f>
        <v>FT17334SV17T|103</v>
      </c>
      <c r="D381" t="s">
        <v>1161</v>
      </c>
      <c r="F381" s="1">
        <v>6504</v>
      </c>
      <c r="G381" s="1">
        <v>-142237.73000000001</v>
      </c>
    </row>
    <row r="382" spans="1:7" x14ac:dyDescent="0.25">
      <c r="A382" s="2">
        <v>43069</v>
      </c>
      <c r="B382" s="2">
        <v>43069</v>
      </c>
      <c r="C382" t="str">
        <f>"FT17334X2FZ7|103"</f>
        <v>FT17334X2FZ7|103</v>
      </c>
      <c r="D382" t="s">
        <v>1162</v>
      </c>
      <c r="F382" s="1">
        <v>1910</v>
      </c>
      <c r="G382" s="1">
        <v>-140327.73000000001</v>
      </c>
    </row>
    <row r="383" spans="1:7" x14ac:dyDescent="0.25">
      <c r="A383" s="2">
        <v>43070</v>
      </c>
      <c r="B383" s="2">
        <v>43070</v>
      </c>
      <c r="C383" t="str">
        <f>"0001200221111715390076412"</f>
        <v>0001200221111715390076412</v>
      </c>
      <c r="D383" t="s">
        <v>1163</v>
      </c>
      <c r="F383" s="1">
        <v>8064</v>
      </c>
      <c r="G383" s="1">
        <v>613898.32999999996</v>
      </c>
    </row>
    <row r="384" spans="1:7" x14ac:dyDescent="0.25">
      <c r="A384" s="2">
        <v>43073</v>
      </c>
      <c r="B384" s="2">
        <v>43073</v>
      </c>
      <c r="C384" t="str">
        <f>"0001200223111716130077961"</f>
        <v>0001200223111716130077961</v>
      </c>
      <c r="D384" t="s">
        <v>1164</v>
      </c>
      <c r="F384">
        <v>661</v>
      </c>
      <c r="G384" s="1">
        <v>693315.27</v>
      </c>
    </row>
    <row r="385" spans="1:7" x14ac:dyDescent="0.25">
      <c r="A385" s="2">
        <v>43073</v>
      </c>
      <c r="B385" s="2">
        <v>43073</v>
      </c>
      <c r="C385" t="str">
        <f>"0001200223111716140077965"</f>
        <v>0001200223111716140077965</v>
      </c>
      <c r="D385" t="s">
        <v>1165</v>
      </c>
      <c r="F385" s="1">
        <v>8478</v>
      </c>
      <c r="G385" s="1">
        <v>701793.27</v>
      </c>
    </row>
    <row r="386" spans="1:7" x14ac:dyDescent="0.25">
      <c r="A386" s="2">
        <v>43073</v>
      </c>
      <c r="B386" s="2">
        <v>43073</v>
      </c>
      <c r="C386" t="str">
        <f>"0001200223111716140077972"</f>
        <v>0001200223111716140077972</v>
      </c>
      <c r="D386" t="s">
        <v>1166</v>
      </c>
      <c r="F386" s="1">
        <v>1580</v>
      </c>
      <c r="G386" s="1">
        <v>703373.27</v>
      </c>
    </row>
    <row r="387" spans="1:7" x14ac:dyDescent="0.25">
      <c r="A387" s="2">
        <v>43073</v>
      </c>
      <c r="B387" s="2">
        <v>43073</v>
      </c>
      <c r="C387" t="str">
        <f>"0001200223111716150077978"</f>
        <v>0001200223111716150077978</v>
      </c>
      <c r="D387" t="s">
        <v>1167</v>
      </c>
      <c r="F387">
        <v>648</v>
      </c>
      <c r="G387" s="1">
        <v>704021.27</v>
      </c>
    </row>
    <row r="388" spans="1:7" x14ac:dyDescent="0.25">
      <c r="A388" s="2">
        <v>43073</v>
      </c>
      <c r="B388" s="2">
        <v>43073</v>
      </c>
      <c r="C388" t="str">
        <f>"0001200223111716160077983"</f>
        <v>0001200223111716160077983</v>
      </c>
      <c r="D388" t="s">
        <v>1095</v>
      </c>
      <c r="F388">
        <v>520</v>
      </c>
      <c r="G388" s="1">
        <v>704541.27</v>
      </c>
    </row>
    <row r="389" spans="1:7" x14ac:dyDescent="0.25">
      <c r="A389" s="2">
        <v>43075</v>
      </c>
      <c r="B389" s="2">
        <v>43075</v>
      </c>
      <c r="C389" t="str">
        <f>"0001200224111716120078765"</f>
        <v>0001200224111716120078765</v>
      </c>
      <c r="D389" t="s">
        <v>1168</v>
      </c>
      <c r="F389">
        <v>755</v>
      </c>
      <c r="G389" s="1">
        <v>776953.57</v>
      </c>
    </row>
    <row r="390" spans="1:7" x14ac:dyDescent="0.25">
      <c r="A390" s="2">
        <v>43075</v>
      </c>
      <c r="B390" s="2">
        <v>43075</v>
      </c>
      <c r="C390" t="str">
        <f>"0001200224111716130078767"</f>
        <v>0001200224111716130078767</v>
      </c>
      <c r="D390" t="s">
        <v>1169</v>
      </c>
      <c r="F390">
        <v>660</v>
      </c>
      <c r="G390" s="1">
        <v>777613.57</v>
      </c>
    </row>
    <row r="391" spans="1:7" x14ac:dyDescent="0.25">
      <c r="A391" s="2">
        <v>43075</v>
      </c>
      <c r="B391" s="2">
        <v>43075</v>
      </c>
      <c r="C391" t="str">
        <f>"0001200224111716130078770"</f>
        <v>0001200224111716130078770</v>
      </c>
      <c r="D391" t="s">
        <v>1170</v>
      </c>
      <c r="F391">
        <v>351</v>
      </c>
      <c r="G391" s="1">
        <v>777964.57</v>
      </c>
    </row>
    <row r="392" spans="1:7" x14ac:dyDescent="0.25">
      <c r="A392" s="2">
        <v>43075</v>
      </c>
      <c r="B392" s="2">
        <v>43075</v>
      </c>
      <c r="C392" t="str">
        <f>"0001200224111716140078773"</f>
        <v>0001200224111716140078773</v>
      </c>
      <c r="D392" t="s">
        <v>1171</v>
      </c>
      <c r="F392" s="1">
        <v>10893</v>
      </c>
      <c r="G392" s="1">
        <v>788857.57</v>
      </c>
    </row>
    <row r="393" spans="1:7" x14ac:dyDescent="0.25">
      <c r="A393" s="2">
        <v>43075</v>
      </c>
      <c r="B393" s="2">
        <v>43075</v>
      </c>
      <c r="C393" t="str">
        <f>"0001200224111716150078775"</f>
        <v>0001200224111716150078775</v>
      </c>
      <c r="D393" t="s">
        <v>1172</v>
      </c>
      <c r="F393" s="1">
        <v>3309</v>
      </c>
      <c r="G393" s="1">
        <v>792166.57</v>
      </c>
    </row>
    <row r="394" spans="1:7" x14ac:dyDescent="0.25">
      <c r="A394" s="2">
        <v>43080</v>
      </c>
      <c r="B394" s="2">
        <v>43080</v>
      </c>
      <c r="C394" t="str">
        <f>"0001200230111715470082200"</f>
        <v>0001200230111715470082200</v>
      </c>
      <c r="D394" t="s">
        <v>1173</v>
      </c>
      <c r="F394">
        <v>377</v>
      </c>
      <c r="G394" s="1">
        <v>-149624.73000000001</v>
      </c>
    </row>
    <row r="395" spans="1:7" x14ac:dyDescent="0.25">
      <c r="A395" s="2">
        <v>43080</v>
      </c>
      <c r="B395" s="2">
        <v>43080</v>
      </c>
      <c r="C395" t="str">
        <f>"0001200230111715470082202"</f>
        <v>0001200230111715470082202</v>
      </c>
      <c r="D395" t="s">
        <v>1174</v>
      </c>
      <c r="F395">
        <v>883</v>
      </c>
      <c r="G395" s="1">
        <v>-148741.73000000001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9"/>
  <sheetViews>
    <sheetView topLeftCell="A421" workbookViewId="0">
      <selection activeCell="E443" sqref="E443"/>
    </sheetView>
  </sheetViews>
  <sheetFormatPr defaultColWidth="17.5703125" defaultRowHeight="15" x14ac:dyDescent="0.25"/>
  <cols>
    <col min="3" max="3" width="26.5703125" bestFit="1" customWidth="1"/>
    <col min="4" max="4" width="90.28515625" bestFit="1" customWidth="1"/>
    <col min="5" max="6" width="17.5703125" style="3"/>
  </cols>
  <sheetData>
    <row r="3" spans="1:7" x14ac:dyDescent="0.25">
      <c r="B3" t="s">
        <v>0</v>
      </c>
    </row>
    <row r="7" spans="1:7" x14ac:dyDescent="0.25">
      <c r="A7" t="s">
        <v>1</v>
      </c>
      <c r="B7">
        <v>107347</v>
      </c>
    </row>
    <row r="8" spans="1:7" x14ac:dyDescent="0.25">
      <c r="A8" t="s">
        <v>2</v>
      </c>
      <c r="B8" t="str">
        <f>"02020010734700"</f>
        <v>02020010734700</v>
      </c>
    </row>
    <row r="9" spans="1:7" x14ac:dyDescent="0.25">
      <c r="A9" t="s">
        <v>3</v>
      </c>
      <c r="B9" t="s">
        <v>4</v>
      </c>
    </row>
    <row r="10" spans="1:7" x14ac:dyDescent="0.25">
      <c r="A10" t="s">
        <v>5</v>
      </c>
      <c r="B10" s="1">
        <v>209353.63</v>
      </c>
    </row>
    <row r="11" spans="1:7" x14ac:dyDescent="0.25">
      <c r="A11" t="s">
        <v>6</v>
      </c>
      <c r="B11" s="1">
        <v>180658.63</v>
      </c>
    </row>
    <row r="14" spans="1:7" x14ac:dyDescent="0.25">
      <c r="A14" t="s">
        <v>1175</v>
      </c>
    </row>
    <row r="16" spans="1:7" s="4" customFormat="1" x14ac:dyDescent="0.25">
      <c r="A16" s="4" t="s">
        <v>8</v>
      </c>
      <c r="B16" s="4" t="s">
        <v>9</v>
      </c>
      <c r="C16" s="4" t="s">
        <v>10</v>
      </c>
      <c r="D16" s="4" t="s">
        <v>11</v>
      </c>
      <c r="E16" s="5" t="s">
        <v>12</v>
      </c>
      <c r="F16" s="5" t="s">
        <v>13</v>
      </c>
      <c r="G16" s="4" t="s">
        <v>14</v>
      </c>
    </row>
    <row r="17" spans="1:7" x14ac:dyDescent="0.25">
      <c r="A17" s="2">
        <v>43070</v>
      </c>
      <c r="B17" s="2">
        <v>43070</v>
      </c>
      <c r="C17" t="str">
        <f>"0001203901121714080174705"</f>
        <v>0001203901121714080174705</v>
      </c>
      <c r="D17" t="s">
        <v>1176</v>
      </c>
      <c r="F17" s="3">
        <v>18</v>
      </c>
      <c r="G17" s="1">
        <v>-140309.73000000001</v>
      </c>
    </row>
    <row r="18" spans="1:7" x14ac:dyDescent="0.25">
      <c r="A18" s="2">
        <v>43070</v>
      </c>
      <c r="B18" s="2">
        <v>43070</v>
      </c>
      <c r="C18" t="str">
        <f>"0001203901121714100174715"</f>
        <v>0001203901121714100174715</v>
      </c>
      <c r="D18" t="s">
        <v>1177</v>
      </c>
      <c r="F18" s="3">
        <v>25</v>
      </c>
      <c r="G18" s="1">
        <v>-140284.73000000001</v>
      </c>
    </row>
    <row r="19" spans="1:7" x14ac:dyDescent="0.25">
      <c r="A19" s="2">
        <v>43070</v>
      </c>
      <c r="B19" s="2">
        <v>43070</v>
      </c>
      <c r="C19" t="str">
        <f>"0001200201121715400082799"</f>
        <v>0001200201121715400082799</v>
      </c>
      <c r="D19" t="s">
        <v>110</v>
      </c>
      <c r="F19" s="3">
        <v>120</v>
      </c>
      <c r="G19" s="1">
        <v>-140164.73000000001</v>
      </c>
    </row>
    <row r="20" spans="1:7" x14ac:dyDescent="0.25">
      <c r="A20" s="2">
        <v>43070</v>
      </c>
      <c r="B20" s="2">
        <v>43070</v>
      </c>
      <c r="C20" t="str">
        <f>"0001200201121715410082801"</f>
        <v>0001200201121715410082801</v>
      </c>
      <c r="D20" t="s">
        <v>110</v>
      </c>
      <c r="F20" s="3">
        <v>30</v>
      </c>
      <c r="G20" s="1">
        <v>-140134.73000000001</v>
      </c>
    </row>
    <row r="21" spans="1:7" x14ac:dyDescent="0.25">
      <c r="A21" s="2">
        <v>43070</v>
      </c>
      <c r="B21" s="2">
        <v>43083</v>
      </c>
      <c r="C21" t="str">
        <f>"0001200201121715440082818"</f>
        <v>0001200201121715440082818</v>
      </c>
      <c r="D21" t="s">
        <v>1178</v>
      </c>
      <c r="F21" s="3">
        <v>209</v>
      </c>
      <c r="G21" s="1">
        <v>-135393.73000000001</v>
      </c>
    </row>
    <row r="22" spans="1:7" x14ac:dyDescent="0.25">
      <c r="A22" s="2">
        <v>43070</v>
      </c>
      <c r="B22" s="2">
        <v>43083</v>
      </c>
      <c r="C22" t="str">
        <f>"0001200201121716040082913"</f>
        <v>0001200201121716040082913</v>
      </c>
      <c r="D22" t="s">
        <v>244</v>
      </c>
      <c r="E22" s="3">
        <v>209</v>
      </c>
      <c r="G22" s="1">
        <v>-127775.73</v>
      </c>
    </row>
    <row r="23" spans="1:7" x14ac:dyDescent="0.25">
      <c r="A23" s="2">
        <v>43070</v>
      </c>
      <c r="B23" s="2">
        <v>43070</v>
      </c>
      <c r="C23" t="str">
        <f>"0001209901121715410583417"</f>
        <v>0001209901121715410583417</v>
      </c>
      <c r="D23" t="s">
        <v>1179</v>
      </c>
      <c r="E23" s="3">
        <v>194</v>
      </c>
      <c r="G23" s="1">
        <v>-127969.73</v>
      </c>
    </row>
    <row r="24" spans="1:7" x14ac:dyDescent="0.25">
      <c r="A24" s="2">
        <v>43070</v>
      </c>
      <c r="B24" s="2">
        <v>43070</v>
      </c>
      <c r="C24" t="str">
        <f>"0001209901121715410583417"</f>
        <v>0001209901121715410583417</v>
      </c>
      <c r="D24" t="s">
        <v>307</v>
      </c>
      <c r="E24" s="3">
        <v>4.8499999999999996</v>
      </c>
      <c r="G24" s="1">
        <v>-127974.58</v>
      </c>
    </row>
    <row r="25" spans="1:7" x14ac:dyDescent="0.25">
      <c r="A25" s="2">
        <v>43070</v>
      </c>
      <c r="B25" s="2">
        <v>43070</v>
      </c>
      <c r="C25" t="str">
        <f>"0001209901121715410583417"</f>
        <v>0001209901121715410583417</v>
      </c>
      <c r="D25" t="s">
        <v>249</v>
      </c>
      <c r="E25" s="3">
        <v>0.49</v>
      </c>
      <c r="G25" s="1">
        <v>-127975.07</v>
      </c>
    </row>
    <row r="26" spans="1:7" x14ac:dyDescent="0.25">
      <c r="A26" s="2">
        <v>43070</v>
      </c>
      <c r="B26" s="2">
        <v>43070</v>
      </c>
      <c r="C26" t="str">
        <f>"0001200201121716520083010"</f>
        <v>0001200201121716520083010</v>
      </c>
      <c r="D26" t="s">
        <v>1180</v>
      </c>
      <c r="E26" s="3">
        <v>1007.97</v>
      </c>
      <c r="G26" s="1">
        <v>-128983.03999999999</v>
      </c>
    </row>
    <row r="27" spans="1:7" x14ac:dyDescent="0.25">
      <c r="A27" s="2">
        <v>43070</v>
      </c>
      <c r="B27" s="2">
        <v>43070</v>
      </c>
      <c r="C27" t="str">
        <f>"0001209901121716380583470"</f>
        <v>0001209901121716380583470</v>
      </c>
      <c r="D27" t="s">
        <v>1181</v>
      </c>
      <c r="E27" s="3">
        <v>1002.74</v>
      </c>
      <c r="G27" s="1">
        <v>-129985.78</v>
      </c>
    </row>
    <row r="28" spans="1:7" x14ac:dyDescent="0.25">
      <c r="A28" s="2">
        <v>43070</v>
      </c>
      <c r="B28" s="2">
        <v>43070</v>
      </c>
      <c r="C28" t="str">
        <f>"0001209901121716380583470"</f>
        <v>0001209901121716380583470</v>
      </c>
      <c r="D28" t="s">
        <v>248</v>
      </c>
      <c r="E28" s="3">
        <v>14.56</v>
      </c>
      <c r="G28" s="1">
        <v>-130000.34</v>
      </c>
    </row>
    <row r="29" spans="1:7" x14ac:dyDescent="0.25">
      <c r="A29" s="2">
        <v>43070</v>
      </c>
      <c r="B29" s="2">
        <v>43070</v>
      </c>
      <c r="C29" t="str">
        <f>"0001209901121716380583470"</f>
        <v>0001209901121716380583470</v>
      </c>
      <c r="D29" t="s">
        <v>249</v>
      </c>
      <c r="E29" s="3">
        <v>1.46</v>
      </c>
      <c r="G29" s="1">
        <v>-130001.8</v>
      </c>
    </row>
    <row r="30" spans="1:7" x14ac:dyDescent="0.25">
      <c r="A30" s="2">
        <v>43070</v>
      </c>
      <c r="B30" s="2">
        <v>43070</v>
      </c>
      <c r="C30" t="str">
        <f>"990112JEMM09"</f>
        <v>990112JEMM09</v>
      </c>
      <c r="D30" t="s">
        <v>1182</v>
      </c>
      <c r="E30" s="3">
        <v>735048.5</v>
      </c>
      <c r="G30" s="1">
        <v>-865050.3</v>
      </c>
    </row>
    <row r="31" spans="1:7" x14ac:dyDescent="0.25">
      <c r="A31" s="2">
        <v>43070</v>
      </c>
      <c r="B31" s="2">
        <v>43070</v>
      </c>
      <c r="C31" t="str">
        <f>"990112JEMM09"</f>
        <v>990112JEMM09</v>
      </c>
      <c r="D31" t="s">
        <v>1182</v>
      </c>
      <c r="E31" s="3">
        <v>5.34</v>
      </c>
      <c r="G31" s="1">
        <v>-865055.64</v>
      </c>
    </row>
    <row r="32" spans="1:7" x14ac:dyDescent="0.25">
      <c r="A32" s="2">
        <v>43070</v>
      </c>
      <c r="B32" s="2">
        <v>43070</v>
      </c>
      <c r="C32" t="str">
        <f>"7947700334FC|103"</f>
        <v>7947700334FC|103</v>
      </c>
      <c r="D32" t="s">
        <v>1183</v>
      </c>
      <c r="E32" s="3">
        <v>10</v>
      </c>
      <c r="G32" s="1">
        <v>-865065.64</v>
      </c>
    </row>
    <row r="33" spans="1:7" x14ac:dyDescent="0.25">
      <c r="A33" s="2">
        <v>43070</v>
      </c>
      <c r="B33" s="2">
        <v>43070</v>
      </c>
      <c r="C33" t="str">
        <f>"S0673341A27A01|103"</f>
        <v>S0673341A27A01|103</v>
      </c>
      <c r="D33" t="s">
        <v>1184</v>
      </c>
      <c r="F33" s="3">
        <v>50</v>
      </c>
      <c r="G33" s="1">
        <v>-865015.64</v>
      </c>
    </row>
    <row r="34" spans="1:7" x14ac:dyDescent="0.25">
      <c r="A34" s="2">
        <v>43070</v>
      </c>
      <c r="B34" s="2">
        <v>43070</v>
      </c>
      <c r="C34" t="str">
        <f>"PAY171130C020536|103"</f>
        <v>PAY171130C020536|103</v>
      </c>
      <c r="D34" t="s">
        <v>1185</v>
      </c>
      <c r="F34" s="3">
        <v>38891.4</v>
      </c>
      <c r="G34" s="1">
        <v>-826124.24</v>
      </c>
    </row>
    <row r="35" spans="1:7" x14ac:dyDescent="0.25">
      <c r="A35" s="2">
        <v>43070</v>
      </c>
      <c r="B35" s="2">
        <v>43070</v>
      </c>
      <c r="C35" t="str">
        <f>"C538244OCP113017|103"</f>
        <v>C538244OCP113017|103</v>
      </c>
      <c r="D35" t="s">
        <v>1186</v>
      </c>
      <c r="F35" s="3">
        <v>1000000</v>
      </c>
      <c r="G35" s="1">
        <v>173875.76</v>
      </c>
    </row>
    <row r="36" spans="1:7" x14ac:dyDescent="0.25">
      <c r="A36" s="2">
        <v>43070</v>
      </c>
      <c r="B36" s="2">
        <v>43070</v>
      </c>
      <c r="C36" t="str">
        <f>"FT173357X9GP|103"</f>
        <v>FT173357X9GP|103</v>
      </c>
      <c r="D36" t="s">
        <v>1187</v>
      </c>
      <c r="F36" s="3">
        <v>343</v>
      </c>
      <c r="G36" s="1">
        <v>174218.76</v>
      </c>
    </row>
    <row r="37" spans="1:7" x14ac:dyDescent="0.25">
      <c r="A37" s="2">
        <v>43070</v>
      </c>
      <c r="B37" s="2">
        <v>43070</v>
      </c>
      <c r="C37" t="str">
        <f>"FT17335M1WZP|103"</f>
        <v>FT17335M1WZP|103</v>
      </c>
      <c r="D37" t="s">
        <v>1188</v>
      </c>
      <c r="F37" s="3">
        <v>935</v>
      </c>
      <c r="G37" s="1">
        <v>175153.76</v>
      </c>
    </row>
    <row r="38" spans="1:7" x14ac:dyDescent="0.25">
      <c r="A38" s="2">
        <v>43070</v>
      </c>
      <c r="B38" s="2">
        <v>43070</v>
      </c>
      <c r="C38" t="str">
        <f>"FT173357M7N8|103"</f>
        <v>FT173357M7N8|103</v>
      </c>
      <c r="D38" t="s">
        <v>1189</v>
      </c>
      <c r="F38" s="3">
        <v>890</v>
      </c>
      <c r="G38" s="1">
        <v>176043.76</v>
      </c>
    </row>
    <row r="39" spans="1:7" x14ac:dyDescent="0.25">
      <c r="A39" s="2">
        <v>43070</v>
      </c>
      <c r="B39" s="2">
        <v>43070</v>
      </c>
      <c r="C39" t="str">
        <f>"SE07801712010268|103"</f>
        <v>SE07801712010268|103</v>
      </c>
      <c r="D39" t="s">
        <v>1190</v>
      </c>
      <c r="F39" s="3">
        <v>2039</v>
      </c>
      <c r="G39" s="1">
        <v>178082.76</v>
      </c>
    </row>
    <row r="40" spans="1:7" x14ac:dyDescent="0.25">
      <c r="A40" s="2">
        <v>43070</v>
      </c>
      <c r="B40" s="2">
        <v>43070</v>
      </c>
      <c r="C40" t="str">
        <f>"SE07801712010654|103"</f>
        <v>SE07801712010654|103</v>
      </c>
      <c r="D40" t="s">
        <v>1191</v>
      </c>
      <c r="F40" s="3">
        <v>8521</v>
      </c>
      <c r="G40" s="1">
        <v>186603.76</v>
      </c>
    </row>
    <row r="41" spans="1:7" x14ac:dyDescent="0.25">
      <c r="A41" s="2">
        <v>43070</v>
      </c>
      <c r="B41" s="2">
        <v>43070</v>
      </c>
      <c r="C41" t="str">
        <f>"FT17335642D3|103"</f>
        <v>FT17335642D3|103</v>
      </c>
      <c r="D41" t="s">
        <v>1192</v>
      </c>
      <c r="F41" s="3">
        <v>1890</v>
      </c>
      <c r="G41" s="1">
        <v>188493.76</v>
      </c>
    </row>
    <row r="42" spans="1:7" x14ac:dyDescent="0.25">
      <c r="A42" s="2">
        <v>43070</v>
      </c>
      <c r="B42" s="2">
        <v>43070</v>
      </c>
      <c r="C42" t="str">
        <f>"FT17335JKH7W|103"</f>
        <v>FT17335JKH7W|103</v>
      </c>
      <c r="D42" t="s">
        <v>1193</v>
      </c>
      <c r="F42" s="3">
        <v>840</v>
      </c>
      <c r="G42" s="1">
        <v>189333.76000000001</v>
      </c>
    </row>
    <row r="43" spans="1:7" x14ac:dyDescent="0.25">
      <c r="A43" s="2">
        <v>43070</v>
      </c>
      <c r="B43" s="2">
        <v>43070</v>
      </c>
      <c r="C43" t="str">
        <f>"FT1733502KJW|103"</f>
        <v>FT1733502KJW|103</v>
      </c>
      <c r="D43" t="s">
        <v>1194</v>
      </c>
      <c r="F43" s="3">
        <v>473</v>
      </c>
      <c r="G43" s="1">
        <v>189806.76</v>
      </c>
    </row>
    <row r="44" spans="1:7" x14ac:dyDescent="0.25">
      <c r="A44" s="2">
        <v>43070</v>
      </c>
      <c r="B44" s="2">
        <v>43070</v>
      </c>
      <c r="C44" t="str">
        <f>"FT17335QC3WR|103"</f>
        <v>FT17335QC3WR|103</v>
      </c>
      <c r="D44" t="s">
        <v>1195</v>
      </c>
      <c r="F44" s="3">
        <v>836</v>
      </c>
      <c r="G44" s="1">
        <v>190642.76</v>
      </c>
    </row>
    <row r="45" spans="1:7" x14ac:dyDescent="0.25">
      <c r="A45" s="2">
        <v>43070</v>
      </c>
      <c r="B45" s="2">
        <v>43070</v>
      </c>
      <c r="C45" t="str">
        <f>"036FT04173350001|103"</f>
        <v>036FT04173350001|103</v>
      </c>
      <c r="D45" t="s">
        <v>1196</v>
      </c>
      <c r="F45" s="3">
        <v>1054</v>
      </c>
      <c r="G45" s="1">
        <v>191696.76</v>
      </c>
    </row>
    <row r="46" spans="1:7" x14ac:dyDescent="0.25">
      <c r="A46" s="2">
        <v>43070</v>
      </c>
      <c r="B46" s="2">
        <v>43070</v>
      </c>
      <c r="C46" t="str">
        <f>"7947700334FC|103"</f>
        <v>7947700334FC|103</v>
      </c>
      <c r="D46" t="s">
        <v>1197</v>
      </c>
      <c r="F46" s="3">
        <v>9635</v>
      </c>
      <c r="G46" s="1">
        <v>201331.76</v>
      </c>
    </row>
    <row r="47" spans="1:7" x14ac:dyDescent="0.25">
      <c r="A47" s="2">
        <v>43070</v>
      </c>
      <c r="B47" s="2">
        <v>43070</v>
      </c>
      <c r="C47" t="str">
        <f>"C538244OCP113017|103"</f>
        <v>C538244OCP113017|103</v>
      </c>
      <c r="D47" t="s">
        <v>1198</v>
      </c>
      <c r="E47" s="3">
        <v>10</v>
      </c>
      <c r="G47" s="1">
        <v>201321.76</v>
      </c>
    </row>
    <row r="48" spans="1:7" x14ac:dyDescent="0.25">
      <c r="A48" s="2">
        <v>43070</v>
      </c>
      <c r="B48" s="2">
        <v>43070</v>
      </c>
      <c r="C48" t="str">
        <f>"PAY171130C020536|103"</f>
        <v>PAY171130C020536|103</v>
      </c>
      <c r="D48" t="s">
        <v>1199</v>
      </c>
      <c r="E48" s="3">
        <v>10</v>
      </c>
      <c r="G48" s="1">
        <v>201311.76</v>
      </c>
    </row>
    <row r="49" spans="1:7" x14ac:dyDescent="0.25">
      <c r="A49" s="2">
        <v>43070</v>
      </c>
      <c r="B49" s="2">
        <v>43070</v>
      </c>
      <c r="C49" t="str">
        <f>"S0673341A27A01|103"</f>
        <v>S0673341A27A01|103</v>
      </c>
      <c r="D49" t="s">
        <v>1200</v>
      </c>
      <c r="E49" s="3">
        <v>4</v>
      </c>
      <c r="G49" s="1">
        <v>201307.76</v>
      </c>
    </row>
    <row r="50" spans="1:7" x14ac:dyDescent="0.25">
      <c r="A50" s="2">
        <v>43071</v>
      </c>
      <c r="B50" s="2">
        <v>43070</v>
      </c>
      <c r="C50" t="str">
        <f t="shared" ref="C50:C55" si="0">"00000000"</f>
        <v>00000000</v>
      </c>
      <c r="D50" t="s">
        <v>1201</v>
      </c>
      <c r="E50" s="3">
        <v>1</v>
      </c>
      <c r="G50" s="1">
        <v>201306.76</v>
      </c>
    </row>
    <row r="51" spans="1:7" x14ac:dyDescent="0.25">
      <c r="A51" s="2">
        <v>43071</v>
      </c>
      <c r="B51" s="2">
        <v>43070</v>
      </c>
      <c r="C51" t="str">
        <f t="shared" si="0"/>
        <v>00000000</v>
      </c>
      <c r="D51" t="s">
        <v>1202</v>
      </c>
      <c r="E51" s="3">
        <v>1</v>
      </c>
      <c r="G51" s="1">
        <v>201305.76</v>
      </c>
    </row>
    <row r="52" spans="1:7" x14ac:dyDescent="0.25">
      <c r="A52" s="2">
        <v>43071</v>
      </c>
      <c r="B52" s="2">
        <v>43070</v>
      </c>
      <c r="C52" t="str">
        <f t="shared" si="0"/>
        <v>00000000</v>
      </c>
      <c r="D52" t="s">
        <v>1201</v>
      </c>
      <c r="E52" s="3">
        <v>10</v>
      </c>
      <c r="G52" s="1">
        <v>201295.76</v>
      </c>
    </row>
    <row r="53" spans="1:7" x14ac:dyDescent="0.25">
      <c r="A53" s="2">
        <v>43071</v>
      </c>
      <c r="B53" s="2">
        <v>43070</v>
      </c>
      <c r="C53" t="str">
        <f t="shared" si="0"/>
        <v>00000000</v>
      </c>
      <c r="D53" t="s">
        <v>1203</v>
      </c>
      <c r="E53" s="3">
        <v>1</v>
      </c>
      <c r="G53" s="1">
        <v>201294.76</v>
      </c>
    </row>
    <row r="54" spans="1:7" x14ac:dyDescent="0.25">
      <c r="A54" s="2">
        <v>43071</v>
      </c>
      <c r="B54" s="2">
        <v>43070</v>
      </c>
      <c r="C54" t="str">
        <f t="shared" si="0"/>
        <v>00000000</v>
      </c>
      <c r="D54" t="s">
        <v>1204</v>
      </c>
      <c r="E54" s="3">
        <v>1</v>
      </c>
      <c r="G54" s="1">
        <v>201293.76</v>
      </c>
    </row>
    <row r="55" spans="1:7" x14ac:dyDescent="0.25">
      <c r="A55" s="2">
        <v>43071</v>
      </c>
      <c r="B55" s="2">
        <v>43070</v>
      </c>
      <c r="C55" t="str">
        <f t="shared" si="0"/>
        <v>00000000</v>
      </c>
      <c r="D55" t="s">
        <v>1201</v>
      </c>
      <c r="F55" s="3">
        <v>41368.25</v>
      </c>
      <c r="G55" s="1">
        <v>242662.01</v>
      </c>
    </row>
    <row r="56" spans="1:7" x14ac:dyDescent="0.25">
      <c r="A56" s="2">
        <v>43071</v>
      </c>
      <c r="B56" s="2">
        <v>43071</v>
      </c>
      <c r="C56" t="str">
        <f>"0001203902121707510176566"</f>
        <v>0001203902121707510176566</v>
      </c>
      <c r="D56" t="s">
        <v>1205</v>
      </c>
      <c r="F56" s="3">
        <v>23</v>
      </c>
      <c r="G56" s="1">
        <v>242685.01</v>
      </c>
    </row>
    <row r="57" spans="1:7" x14ac:dyDescent="0.25">
      <c r="A57" s="2">
        <v>43072</v>
      </c>
      <c r="B57" s="2">
        <v>43071</v>
      </c>
      <c r="C57" t="str">
        <f>"INT:2017-12-02"</f>
        <v>INT:2017-12-02</v>
      </c>
      <c r="D57" t="s">
        <v>909</v>
      </c>
      <c r="E57" s="3">
        <v>46.3</v>
      </c>
      <c r="G57" s="1">
        <v>242638.71</v>
      </c>
    </row>
    <row r="58" spans="1:7" x14ac:dyDescent="0.25">
      <c r="A58" s="2">
        <v>43073</v>
      </c>
      <c r="B58" s="2">
        <v>43073</v>
      </c>
      <c r="C58" t="str">
        <f>"SE07801712040074|103"</f>
        <v>SE07801712040074|103</v>
      </c>
      <c r="D58" t="s">
        <v>1206</v>
      </c>
      <c r="F58" s="3">
        <v>1703</v>
      </c>
      <c r="G58" s="1">
        <v>244341.71</v>
      </c>
    </row>
    <row r="59" spans="1:7" x14ac:dyDescent="0.25">
      <c r="A59" s="2">
        <v>43073</v>
      </c>
      <c r="B59" s="2">
        <v>43073</v>
      </c>
      <c r="C59" t="str">
        <f>"3733500675|103"</f>
        <v>3733500675|103</v>
      </c>
      <c r="D59" t="s">
        <v>1207</v>
      </c>
      <c r="F59" s="3">
        <v>935</v>
      </c>
      <c r="G59" s="1">
        <v>245276.71</v>
      </c>
    </row>
    <row r="60" spans="1:7" x14ac:dyDescent="0.25">
      <c r="A60" s="2">
        <v>43073</v>
      </c>
      <c r="B60" s="2">
        <v>43073</v>
      </c>
      <c r="C60" t="str">
        <f>"SE07801712040538|103"</f>
        <v>SE07801712040538|103</v>
      </c>
      <c r="D60" t="s">
        <v>1208</v>
      </c>
      <c r="F60" s="3">
        <v>87686</v>
      </c>
      <c r="G60" s="1">
        <v>332962.71000000002</v>
      </c>
    </row>
    <row r="61" spans="1:7" x14ac:dyDescent="0.25">
      <c r="A61" s="2">
        <v>43073</v>
      </c>
      <c r="B61" s="2">
        <v>43073</v>
      </c>
      <c r="C61" t="str">
        <f>"SE07801712041168|103"</f>
        <v>SE07801712041168|103</v>
      </c>
      <c r="D61" t="s">
        <v>1209</v>
      </c>
      <c r="F61" s="3">
        <v>85</v>
      </c>
      <c r="G61" s="1">
        <v>333047.71000000002</v>
      </c>
    </row>
    <row r="62" spans="1:7" x14ac:dyDescent="0.25">
      <c r="A62" s="2">
        <v>43073</v>
      </c>
      <c r="B62" s="2">
        <v>43073</v>
      </c>
      <c r="C62" t="str">
        <f>"3733800425|103"</f>
        <v>3733800425|103</v>
      </c>
      <c r="D62" t="s">
        <v>1210</v>
      </c>
      <c r="F62" s="3">
        <v>735</v>
      </c>
      <c r="G62" s="1">
        <v>333782.71000000002</v>
      </c>
    </row>
    <row r="63" spans="1:7" x14ac:dyDescent="0.25">
      <c r="A63" s="2">
        <v>43073</v>
      </c>
      <c r="B63" s="2">
        <v>43073</v>
      </c>
      <c r="C63" t="str">
        <f>"3733800430|103"</f>
        <v>3733800430|103</v>
      </c>
      <c r="D63" t="s">
        <v>1211</v>
      </c>
      <c r="F63" s="3">
        <v>7056</v>
      </c>
      <c r="G63" s="1">
        <v>340838.71</v>
      </c>
    </row>
    <row r="64" spans="1:7" x14ac:dyDescent="0.25">
      <c r="A64" s="2">
        <v>43073</v>
      </c>
      <c r="B64" s="2">
        <v>43073</v>
      </c>
      <c r="C64" t="str">
        <f>"3733800429|103"</f>
        <v>3733800429|103</v>
      </c>
      <c r="D64" t="s">
        <v>1212</v>
      </c>
      <c r="F64" s="3">
        <v>7369</v>
      </c>
      <c r="G64" s="1">
        <v>348207.71</v>
      </c>
    </row>
    <row r="65" spans="1:7" x14ac:dyDescent="0.25">
      <c r="A65" s="2">
        <v>43073</v>
      </c>
      <c r="B65" s="2">
        <v>43073</v>
      </c>
      <c r="C65" t="str">
        <f>"FT17338PD006|103"</f>
        <v>FT17338PD006|103</v>
      </c>
      <c r="D65" t="s">
        <v>1213</v>
      </c>
      <c r="F65" s="3">
        <v>130</v>
      </c>
      <c r="G65" s="1">
        <v>348337.71</v>
      </c>
    </row>
    <row r="66" spans="1:7" x14ac:dyDescent="0.25">
      <c r="A66" s="2">
        <v>43073</v>
      </c>
      <c r="B66" s="2">
        <v>43073</v>
      </c>
      <c r="C66" t="str">
        <f>"00106981  "</f>
        <v xml:space="preserve">00106981  </v>
      </c>
      <c r="D66" t="s">
        <v>1214</v>
      </c>
      <c r="E66" s="3">
        <v>1820</v>
      </c>
      <c r="G66" s="1">
        <v>346517.71</v>
      </c>
    </row>
    <row r="67" spans="1:7" x14ac:dyDescent="0.25">
      <c r="A67" s="2">
        <v>43073</v>
      </c>
      <c r="B67" s="2">
        <v>43073</v>
      </c>
      <c r="C67" t="str">
        <f>"SE07801712040422|103"</f>
        <v>SE07801712040422|103</v>
      </c>
      <c r="D67" t="s">
        <v>1215</v>
      </c>
      <c r="F67" s="3">
        <v>7892</v>
      </c>
      <c r="G67" s="1">
        <v>354409.71</v>
      </c>
    </row>
    <row r="68" spans="1:7" x14ac:dyDescent="0.25">
      <c r="A68" s="2">
        <v>43073</v>
      </c>
      <c r="B68" s="2">
        <v>43073</v>
      </c>
      <c r="C68" t="str">
        <f>"013RTGS173350022|103"</f>
        <v>013RTGS173350022|103</v>
      </c>
      <c r="D68" t="s">
        <v>1216</v>
      </c>
      <c r="F68" s="3">
        <v>34788</v>
      </c>
      <c r="G68" s="1">
        <v>389197.71</v>
      </c>
    </row>
    <row r="69" spans="1:7" x14ac:dyDescent="0.25">
      <c r="A69" s="2">
        <v>43073</v>
      </c>
      <c r="B69" s="2">
        <v>43073</v>
      </c>
      <c r="C69" t="str">
        <f>"0001200204121715300084542"</f>
        <v>0001200204121715300084542</v>
      </c>
      <c r="D69" t="s">
        <v>274</v>
      </c>
      <c r="F69" s="3">
        <v>656</v>
      </c>
      <c r="G69" s="1">
        <v>389853.71</v>
      </c>
    </row>
    <row r="70" spans="1:7" x14ac:dyDescent="0.25">
      <c r="A70" s="2">
        <v>43073</v>
      </c>
      <c r="B70" s="2">
        <v>43073</v>
      </c>
      <c r="C70" t="str">
        <f>"0001200204121715350084555"</f>
        <v>0001200204121715350084555</v>
      </c>
      <c r="D70" t="s">
        <v>274</v>
      </c>
      <c r="F70" s="3">
        <v>100</v>
      </c>
      <c r="G70" s="1">
        <v>389953.71</v>
      </c>
    </row>
    <row r="71" spans="1:7" x14ac:dyDescent="0.25">
      <c r="A71" s="2">
        <v>43073</v>
      </c>
      <c r="B71" s="2">
        <v>43073</v>
      </c>
      <c r="C71" t="str">
        <f>"0001200204121715360084559"</f>
        <v>0001200204121715360084559</v>
      </c>
      <c r="D71" t="s">
        <v>274</v>
      </c>
      <c r="F71" s="3">
        <v>180</v>
      </c>
      <c r="G71" s="1">
        <v>390133.71</v>
      </c>
    </row>
    <row r="72" spans="1:7" x14ac:dyDescent="0.25">
      <c r="A72" s="2">
        <v>43073</v>
      </c>
      <c r="B72" s="2">
        <v>43083</v>
      </c>
      <c r="C72" t="str">
        <f>"0001200204121715410084579"</f>
        <v>0001200204121715410084579</v>
      </c>
      <c r="D72" t="s">
        <v>1217</v>
      </c>
      <c r="F72" s="3">
        <v>7199</v>
      </c>
      <c r="G72" s="1">
        <v>397332.71</v>
      </c>
    </row>
    <row r="73" spans="1:7" x14ac:dyDescent="0.25">
      <c r="A73" s="2">
        <v>43073</v>
      </c>
      <c r="B73" s="2">
        <v>43073</v>
      </c>
      <c r="C73" t="str">
        <f t="shared" ref="C73:C79" si="1">"00000000"</f>
        <v>00000000</v>
      </c>
      <c r="D73" t="s">
        <v>1218</v>
      </c>
      <c r="E73" s="3">
        <v>1</v>
      </c>
      <c r="G73" s="1">
        <v>397331.71</v>
      </c>
    </row>
    <row r="74" spans="1:7" x14ac:dyDescent="0.25">
      <c r="A74" s="2">
        <v>43073</v>
      </c>
      <c r="B74" s="2">
        <v>43073</v>
      </c>
      <c r="C74" t="str">
        <f t="shared" si="1"/>
        <v>00000000</v>
      </c>
      <c r="D74" t="s">
        <v>1219</v>
      </c>
      <c r="E74" s="3">
        <v>1</v>
      </c>
      <c r="G74" s="1">
        <v>397330.71</v>
      </c>
    </row>
    <row r="75" spans="1:7" x14ac:dyDescent="0.25">
      <c r="A75" s="2">
        <v>43073</v>
      </c>
      <c r="B75" s="2">
        <v>43073</v>
      </c>
      <c r="C75" t="str">
        <f t="shared" si="1"/>
        <v>00000000</v>
      </c>
      <c r="D75" t="s">
        <v>1220</v>
      </c>
      <c r="E75" s="3">
        <v>0.4</v>
      </c>
      <c r="G75" s="1">
        <v>397330.31</v>
      </c>
    </row>
    <row r="76" spans="1:7" x14ac:dyDescent="0.25">
      <c r="A76" s="2">
        <v>43073</v>
      </c>
      <c r="B76" s="2">
        <v>43073</v>
      </c>
      <c r="C76" t="str">
        <f t="shared" si="1"/>
        <v>00000000</v>
      </c>
      <c r="D76" t="s">
        <v>1221</v>
      </c>
      <c r="E76" s="3">
        <v>1</v>
      </c>
      <c r="G76" s="1">
        <v>397329.31</v>
      </c>
    </row>
    <row r="77" spans="1:7" x14ac:dyDescent="0.25">
      <c r="A77" s="2">
        <v>43073</v>
      </c>
      <c r="B77" s="2">
        <v>43073</v>
      </c>
      <c r="C77" t="str">
        <f t="shared" si="1"/>
        <v>00000000</v>
      </c>
      <c r="D77" t="s">
        <v>1222</v>
      </c>
      <c r="E77" s="3">
        <v>1</v>
      </c>
      <c r="G77" s="1">
        <v>397328.31</v>
      </c>
    </row>
    <row r="78" spans="1:7" x14ac:dyDescent="0.25">
      <c r="A78" s="2">
        <v>43073</v>
      </c>
      <c r="B78" s="2">
        <v>43073</v>
      </c>
      <c r="C78" t="str">
        <f t="shared" si="1"/>
        <v>00000000</v>
      </c>
      <c r="D78" t="s">
        <v>1222</v>
      </c>
      <c r="E78" s="3">
        <v>10</v>
      </c>
      <c r="G78" s="1">
        <v>397318.31</v>
      </c>
    </row>
    <row r="79" spans="1:7" x14ac:dyDescent="0.25">
      <c r="A79" s="2">
        <v>43073</v>
      </c>
      <c r="B79" s="2">
        <v>43073</v>
      </c>
      <c r="C79" t="str">
        <f t="shared" si="1"/>
        <v>00000000</v>
      </c>
      <c r="D79" t="s">
        <v>1222</v>
      </c>
      <c r="F79" s="3">
        <v>7505.94</v>
      </c>
      <c r="G79" s="1">
        <v>404824.25</v>
      </c>
    </row>
    <row r="80" spans="1:7" x14ac:dyDescent="0.25">
      <c r="A80" s="2">
        <v>43074</v>
      </c>
      <c r="B80" s="2">
        <v>43074</v>
      </c>
      <c r="C80" t="str">
        <f>"990512KMLO00"</f>
        <v>990512KMLO00</v>
      </c>
      <c r="D80" t="s">
        <v>1223</v>
      </c>
      <c r="F80" s="3">
        <v>1002.75</v>
      </c>
      <c r="G80" s="1">
        <v>405827</v>
      </c>
    </row>
    <row r="81" spans="1:7" x14ac:dyDescent="0.25">
      <c r="A81" s="2">
        <v>43074</v>
      </c>
      <c r="B81" s="2">
        <v>43074</v>
      </c>
      <c r="C81" t="str">
        <f>"990512KMLO00"</f>
        <v>990512KMLO00</v>
      </c>
      <c r="D81" t="s">
        <v>1223</v>
      </c>
      <c r="E81" s="3">
        <v>1002.77</v>
      </c>
      <c r="G81" s="1">
        <v>404824.23</v>
      </c>
    </row>
    <row r="82" spans="1:7" x14ac:dyDescent="0.25">
      <c r="A82" s="2">
        <v>43074</v>
      </c>
      <c r="B82" s="2">
        <v>43074</v>
      </c>
      <c r="C82" t="str">
        <f>"022FT10173350019|103"</f>
        <v>022FT10173350019|103</v>
      </c>
      <c r="D82" t="s">
        <v>1224</v>
      </c>
      <c r="F82" s="3">
        <v>3296</v>
      </c>
      <c r="G82" s="1">
        <v>408120.23</v>
      </c>
    </row>
    <row r="83" spans="1:7" x14ac:dyDescent="0.25">
      <c r="A83" s="2">
        <v>43074</v>
      </c>
      <c r="B83" s="2">
        <v>43074</v>
      </c>
      <c r="C83" t="str">
        <f>"FT17338WRJNV|103"</f>
        <v>FT17338WRJNV|103</v>
      </c>
      <c r="D83" t="s">
        <v>1225</v>
      </c>
      <c r="F83" s="3">
        <v>6019</v>
      </c>
      <c r="G83" s="1">
        <v>414139.23</v>
      </c>
    </row>
    <row r="84" spans="1:7" x14ac:dyDescent="0.25">
      <c r="A84" s="2">
        <v>43074</v>
      </c>
      <c r="B84" s="2">
        <v>43074</v>
      </c>
      <c r="C84" t="str">
        <f>"0001200205121716080085831"</f>
        <v>0001200205121716080085831</v>
      </c>
      <c r="D84" t="s">
        <v>110</v>
      </c>
      <c r="F84" s="3">
        <v>600</v>
      </c>
      <c r="G84" s="1">
        <v>417112.23</v>
      </c>
    </row>
    <row r="85" spans="1:7" x14ac:dyDescent="0.25">
      <c r="A85" s="2">
        <v>43074</v>
      </c>
      <c r="B85" s="2">
        <v>43074</v>
      </c>
      <c r="C85" t="str">
        <f>"0001200205121716160085846"</f>
        <v>0001200205121716160085846</v>
      </c>
      <c r="D85" t="s">
        <v>274</v>
      </c>
      <c r="F85" s="3">
        <v>67</v>
      </c>
      <c r="G85" s="1">
        <v>417179.23</v>
      </c>
    </row>
    <row r="86" spans="1:7" x14ac:dyDescent="0.25">
      <c r="A86" s="2">
        <v>43074</v>
      </c>
      <c r="B86" s="2">
        <v>43074</v>
      </c>
      <c r="C86" t="str">
        <f>"0001200205121716170085849"</f>
        <v>0001200205121716170085849</v>
      </c>
      <c r="D86" t="s">
        <v>274</v>
      </c>
      <c r="F86" s="3">
        <v>3252</v>
      </c>
      <c r="G86" s="1">
        <v>420431.23</v>
      </c>
    </row>
    <row r="87" spans="1:7" x14ac:dyDescent="0.25">
      <c r="A87" s="2">
        <v>43075</v>
      </c>
      <c r="B87" s="2">
        <v>43075</v>
      </c>
      <c r="C87" t="str">
        <f>"0001200206121709390086132"</f>
        <v>0001200206121709390086132</v>
      </c>
      <c r="D87" t="s">
        <v>211</v>
      </c>
      <c r="E87" s="3">
        <v>6000</v>
      </c>
      <c r="G87" s="1">
        <v>414431.23</v>
      </c>
    </row>
    <row r="88" spans="1:7" x14ac:dyDescent="0.25">
      <c r="A88" s="2">
        <v>43075</v>
      </c>
      <c r="B88" s="2">
        <v>43075</v>
      </c>
      <c r="C88" t="str">
        <f>"0001203906121711000184948"</f>
        <v>0001203906121711000184948</v>
      </c>
      <c r="D88" t="s">
        <v>1226</v>
      </c>
      <c r="F88" s="3">
        <v>23</v>
      </c>
      <c r="G88" s="1">
        <v>414454.23</v>
      </c>
    </row>
    <row r="89" spans="1:7" x14ac:dyDescent="0.25">
      <c r="A89" s="2">
        <v>43075</v>
      </c>
      <c r="B89" s="2">
        <v>43075</v>
      </c>
      <c r="C89" t="str">
        <f>"SE07801712061376|103"</f>
        <v>SE07801712061376|103</v>
      </c>
      <c r="D89" t="s">
        <v>1227</v>
      </c>
      <c r="F89" s="3">
        <v>8231</v>
      </c>
      <c r="G89" s="1">
        <v>422685.23</v>
      </c>
    </row>
    <row r="90" spans="1:7" x14ac:dyDescent="0.25">
      <c r="A90" s="2">
        <v>43075</v>
      </c>
      <c r="B90" s="2">
        <v>43075</v>
      </c>
      <c r="C90" t="str">
        <f>"3734001139|103"</f>
        <v>3734001139|103</v>
      </c>
      <c r="D90" t="s">
        <v>1228</v>
      </c>
      <c r="F90" s="3">
        <v>3821</v>
      </c>
      <c r="G90" s="1">
        <v>426506.23</v>
      </c>
    </row>
    <row r="91" spans="1:7" x14ac:dyDescent="0.25">
      <c r="A91" s="2">
        <v>43075</v>
      </c>
      <c r="B91" s="2">
        <v>43075</v>
      </c>
      <c r="C91" t="str">
        <f>"FT17340T0X69|103"</f>
        <v>FT17340T0X69|103</v>
      </c>
      <c r="D91" t="s">
        <v>1229</v>
      </c>
      <c r="F91" s="3">
        <v>6042</v>
      </c>
      <c r="G91" s="1">
        <v>432548.23</v>
      </c>
    </row>
    <row r="92" spans="1:7" x14ac:dyDescent="0.25">
      <c r="A92" s="2">
        <v>43075</v>
      </c>
      <c r="B92" s="2">
        <v>43075</v>
      </c>
      <c r="C92" t="str">
        <f>"00000000"</f>
        <v>00000000</v>
      </c>
      <c r="D92" t="s">
        <v>1230</v>
      </c>
      <c r="E92" s="3">
        <v>1</v>
      </c>
      <c r="G92" s="1">
        <v>432547.23</v>
      </c>
    </row>
    <row r="93" spans="1:7" x14ac:dyDescent="0.25">
      <c r="A93" s="2">
        <v>43075</v>
      </c>
      <c r="B93" s="2">
        <v>43075</v>
      </c>
      <c r="C93" t="str">
        <f>"00000000"</f>
        <v>00000000</v>
      </c>
      <c r="D93" t="s">
        <v>1231</v>
      </c>
      <c r="E93" s="3">
        <v>10</v>
      </c>
      <c r="G93" s="1">
        <v>432537.23</v>
      </c>
    </row>
    <row r="94" spans="1:7" x14ac:dyDescent="0.25">
      <c r="A94" s="2">
        <v>43075</v>
      </c>
      <c r="B94" s="2">
        <v>43075</v>
      </c>
      <c r="C94" t="str">
        <f>"00000000"</f>
        <v>00000000</v>
      </c>
      <c r="D94" t="s">
        <v>1232</v>
      </c>
      <c r="F94" s="3">
        <v>22687</v>
      </c>
      <c r="G94" s="1">
        <v>455224.23</v>
      </c>
    </row>
    <row r="95" spans="1:7" x14ac:dyDescent="0.25">
      <c r="A95" s="2">
        <v>43076</v>
      </c>
      <c r="B95" s="2">
        <v>43076</v>
      </c>
      <c r="C95" t="str">
        <f>"2017120600096002|103"</f>
        <v>2017120600096002|103</v>
      </c>
      <c r="D95" t="s">
        <v>1233</v>
      </c>
      <c r="F95" s="3">
        <v>2558</v>
      </c>
      <c r="G95" s="1">
        <v>457782.23</v>
      </c>
    </row>
    <row r="96" spans="1:7" x14ac:dyDescent="0.25">
      <c r="A96" s="2">
        <v>43076</v>
      </c>
      <c r="B96" s="2">
        <v>43076</v>
      </c>
      <c r="C96" t="str">
        <f>"2017120600096002|103"</f>
        <v>2017120600096002|103</v>
      </c>
      <c r="D96" t="s">
        <v>1234</v>
      </c>
      <c r="E96" s="3">
        <v>10</v>
      </c>
      <c r="G96" s="1">
        <v>457772.23</v>
      </c>
    </row>
    <row r="97" spans="1:7" x14ac:dyDescent="0.25">
      <c r="A97" s="2">
        <v>43076</v>
      </c>
      <c r="B97" s="2">
        <v>43076</v>
      </c>
      <c r="C97" t="str">
        <f>"SE07801712071716|103"</f>
        <v>SE07801712071716|103</v>
      </c>
      <c r="D97" t="s">
        <v>1235</v>
      </c>
      <c r="F97" s="3">
        <v>23763</v>
      </c>
      <c r="G97" s="1">
        <v>481535.23</v>
      </c>
    </row>
    <row r="98" spans="1:7" x14ac:dyDescent="0.25">
      <c r="A98" s="2">
        <v>43076</v>
      </c>
      <c r="B98" s="2">
        <v>43076</v>
      </c>
      <c r="C98" t="str">
        <f>"SE07801712070572|103"</f>
        <v>SE07801712070572|103</v>
      </c>
      <c r="D98" t="s">
        <v>1236</v>
      </c>
      <c r="F98" s="3">
        <v>625</v>
      </c>
      <c r="G98" s="1">
        <v>482160.23</v>
      </c>
    </row>
    <row r="99" spans="1:7" x14ac:dyDescent="0.25">
      <c r="A99" s="2">
        <v>43076</v>
      </c>
      <c r="B99" s="2">
        <v>43076</v>
      </c>
      <c r="C99" t="str">
        <f>"013RTGS173410003|103"</f>
        <v>013RTGS173410003|103</v>
      </c>
      <c r="D99" t="s">
        <v>1237</v>
      </c>
      <c r="F99" s="3">
        <v>202</v>
      </c>
      <c r="G99" s="1">
        <v>513039.23</v>
      </c>
    </row>
    <row r="100" spans="1:7" x14ac:dyDescent="0.25">
      <c r="A100" s="2">
        <v>43076</v>
      </c>
      <c r="B100" s="2">
        <v>43076</v>
      </c>
      <c r="C100" t="str">
        <f>"00000000"</f>
        <v>00000000</v>
      </c>
      <c r="D100" t="s">
        <v>1238</v>
      </c>
      <c r="F100" s="3">
        <v>5456</v>
      </c>
      <c r="G100" s="1">
        <v>518495.23</v>
      </c>
    </row>
    <row r="101" spans="1:7" x14ac:dyDescent="0.25">
      <c r="A101" s="2">
        <v>43077</v>
      </c>
      <c r="B101" s="2">
        <v>43077</v>
      </c>
      <c r="C101" t="str">
        <f>"00106948  "</f>
        <v xml:space="preserve">00106948  </v>
      </c>
      <c r="D101" t="s">
        <v>1239</v>
      </c>
      <c r="E101" s="3">
        <v>695.5</v>
      </c>
      <c r="G101" s="1">
        <v>517799.73</v>
      </c>
    </row>
    <row r="102" spans="1:7" x14ac:dyDescent="0.25">
      <c r="A102" s="2">
        <v>43077</v>
      </c>
      <c r="B102" s="2">
        <v>43077</v>
      </c>
      <c r="C102" t="str">
        <f>"00106942  "</f>
        <v xml:space="preserve">00106942  </v>
      </c>
      <c r="D102" t="s">
        <v>1240</v>
      </c>
      <c r="E102" s="3">
        <v>2901.23</v>
      </c>
      <c r="G102" s="1">
        <v>514898.5</v>
      </c>
    </row>
    <row r="103" spans="1:7" x14ac:dyDescent="0.25">
      <c r="A103" s="2">
        <v>43077</v>
      </c>
      <c r="B103" s="2">
        <v>43077</v>
      </c>
      <c r="C103" t="str">
        <f>"00106964  "</f>
        <v xml:space="preserve">00106964  </v>
      </c>
      <c r="D103" t="s">
        <v>1241</v>
      </c>
      <c r="E103" s="3">
        <v>1442.92</v>
      </c>
      <c r="G103" s="1">
        <v>513455.58</v>
      </c>
    </row>
    <row r="104" spans="1:7" x14ac:dyDescent="0.25">
      <c r="A104" s="2">
        <v>43077</v>
      </c>
      <c r="B104" s="2">
        <v>43077</v>
      </c>
      <c r="C104" t="str">
        <f>"3734200668|103"</f>
        <v>3734200668|103</v>
      </c>
      <c r="D104" t="s">
        <v>1242</v>
      </c>
      <c r="F104" s="3">
        <v>2652</v>
      </c>
      <c r="G104" s="1">
        <v>516107.58</v>
      </c>
    </row>
    <row r="105" spans="1:7" x14ac:dyDescent="0.25">
      <c r="A105" s="2">
        <v>43077</v>
      </c>
      <c r="B105" s="2">
        <v>43077</v>
      </c>
      <c r="C105" t="str">
        <f>"FT17342BHQDR|103"</f>
        <v>FT17342BHQDR|103</v>
      </c>
      <c r="D105" t="s">
        <v>1243</v>
      </c>
      <c r="F105" s="3">
        <v>120</v>
      </c>
      <c r="G105" s="1">
        <v>516227.58</v>
      </c>
    </row>
    <row r="106" spans="1:7" x14ac:dyDescent="0.25">
      <c r="A106" s="2">
        <v>43077</v>
      </c>
      <c r="B106" s="2">
        <v>43077</v>
      </c>
      <c r="C106" t="str">
        <f>"3734200169|103"</f>
        <v>3734200169|103</v>
      </c>
      <c r="D106" t="s">
        <v>1244</v>
      </c>
      <c r="F106" s="3">
        <v>16157</v>
      </c>
      <c r="G106" s="1">
        <v>532384.57999999996</v>
      </c>
    </row>
    <row r="107" spans="1:7" x14ac:dyDescent="0.25">
      <c r="A107" s="2">
        <v>43077</v>
      </c>
      <c r="B107" s="2">
        <v>43077</v>
      </c>
      <c r="C107" t="str">
        <f>"3734201511|103"</f>
        <v>3734201511|103</v>
      </c>
      <c r="D107" t="s">
        <v>1245</v>
      </c>
      <c r="F107" s="3">
        <v>3604</v>
      </c>
      <c r="G107" s="1">
        <v>535988.57999999996</v>
      </c>
    </row>
    <row r="108" spans="1:7" x14ac:dyDescent="0.25">
      <c r="A108" s="2">
        <v>43077</v>
      </c>
      <c r="B108" s="2">
        <v>43077</v>
      </c>
      <c r="C108" t="str">
        <f>"FT173421QNBV|103"</f>
        <v>FT173421QNBV|103</v>
      </c>
      <c r="D108" t="s">
        <v>1246</v>
      </c>
      <c r="F108" s="3">
        <v>10598</v>
      </c>
      <c r="G108" s="1">
        <v>546586.57999999996</v>
      </c>
    </row>
    <row r="109" spans="1:7" x14ac:dyDescent="0.25">
      <c r="A109" s="2">
        <v>43077</v>
      </c>
      <c r="B109" s="2">
        <v>43077</v>
      </c>
      <c r="C109" t="str">
        <f>"013RTGS173420004|103"</f>
        <v>013RTGS173420004|103</v>
      </c>
      <c r="D109" t="s">
        <v>1247</v>
      </c>
      <c r="F109" s="3">
        <v>7040</v>
      </c>
      <c r="G109" s="1">
        <v>553626.57999999996</v>
      </c>
    </row>
    <row r="110" spans="1:7" x14ac:dyDescent="0.25">
      <c r="A110" s="2">
        <v>43077</v>
      </c>
      <c r="B110" s="2">
        <v>43077</v>
      </c>
      <c r="C110" t="str">
        <f>"0001200208121715260089590"</f>
        <v>0001200208121715260089590</v>
      </c>
      <c r="D110" t="s">
        <v>211</v>
      </c>
      <c r="E110" s="3">
        <v>3005</v>
      </c>
      <c r="G110" s="1">
        <v>550621.57999999996</v>
      </c>
    </row>
    <row r="111" spans="1:7" x14ac:dyDescent="0.25">
      <c r="A111" s="2">
        <v>43077</v>
      </c>
      <c r="B111" s="2">
        <v>43077</v>
      </c>
      <c r="C111" t="str">
        <f>"0001209908121715200585685"</f>
        <v>0001209908121715200585685</v>
      </c>
      <c r="D111" t="s">
        <v>1248</v>
      </c>
      <c r="E111" s="3">
        <v>33971.78</v>
      </c>
      <c r="G111" s="1">
        <v>516649.8</v>
      </c>
    </row>
    <row r="112" spans="1:7" x14ac:dyDescent="0.25">
      <c r="A112" s="2">
        <v>43077</v>
      </c>
      <c r="B112" s="2">
        <v>43077</v>
      </c>
      <c r="C112" t="str">
        <f>"0001209908121715200585685"</f>
        <v>0001209908121715200585685</v>
      </c>
      <c r="D112" t="s">
        <v>248</v>
      </c>
      <c r="E112" s="3">
        <v>14.57</v>
      </c>
      <c r="G112" s="1">
        <v>516635.23</v>
      </c>
    </row>
    <row r="113" spans="1:7" x14ac:dyDescent="0.25">
      <c r="A113" s="2">
        <v>43077</v>
      </c>
      <c r="B113" s="2">
        <v>43077</v>
      </c>
      <c r="C113" t="str">
        <f>"0001209908121715200585685"</f>
        <v>0001209908121715200585685</v>
      </c>
      <c r="D113" t="s">
        <v>249</v>
      </c>
      <c r="E113" s="3">
        <v>1.46</v>
      </c>
      <c r="G113" s="1">
        <v>516633.77</v>
      </c>
    </row>
    <row r="114" spans="1:7" x14ac:dyDescent="0.25">
      <c r="A114" s="2">
        <v>43077</v>
      </c>
      <c r="B114" s="2">
        <v>43077</v>
      </c>
      <c r="C114" t="str">
        <f>"0001209908121716580585755"</f>
        <v>0001209908121716580585755</v>
      </c>
      <c r="D114" t="s">
        <v>1249</v>
      </c>
      <c r="E114" s="3">
        <v>1895</v>
      </c>
      <c r="G114" s="1">
        <v>514738.77</v>
      </c>
    </row>
    <row r="115" spans="1:7" x14ac:dyDescent="0.25">
      <c r="A115" s="2">
        <v>43077</v>
      </c>
      <c r="B115" s="2">
        <v>43077</v>
      </c>
      <c r="C115" t="str">
        <f>"0001209908121716580585755"</f>
        <v>0001209908121716580585755</v>
      </c>
      <c r="D115" t="s">
        <v>248</v>
      </c>
      <c r="E115" s="3">
        <v>14.57</v>
      </c>
      <c r="G115" s="1">
        <v>514724.2</v>
      </c>
    </row>
    <row r="116" spans="1:7" x14ac:dyDescent="0.25">
      <c r="A116" s="2">
        <v>43077</v>
      </c>
      <c r="B116" s="2">
        <v>43077</v>
      </c>
      <c r="C116" t="str">
        <f>"0001209908121716580585755"</f>
        <v>0001209908121716580585755</v>
      </c>
      <c r="D116" t="s">
        <v>249</v>
      </c>
      <c r="E116" s="3">
        <v>1.46</v>
      </c>
      <c r="G116" s="1">
        <v>514722.74</v>
      </c>
    </row>
    <row r="117" spans="1:7" x14ac:dyDescent="0.25">
      <c r="A117" s="2">
        <v>43078</v>
      </c>
      <c r="B117" s="2">
        <v>43078</v>
      </c>
      <c r="C117" t="str">
        <f>"0001200209121710380090210"</f>
        <v>0001200209121710380090210</v>
      </c>
      <c r="D117" t="s">
        <v>1250</v>
      </c>
      <c r="E117" s="3">
        <v>7240</v>
      </c>
      <c r="G117" s="1">
        <v>507482.74</v>
      </c>
    </row>
    <row r="118" spans="1:7" x14ac:dyDescent="0.25">
      <c r="A118" s="2">
        <v>43078</v>
      </c>
      <c r="B118" s="2">
        <v>43078</v>
      </c>
      <c r="C118" t="str">
        <f>"0001203909121711550192392"</f>
        <v>0001203909121711550192392</v>
      </c>
      <c r="D118" t="s">
        <v>1251</v>
      </c>
      <c r="F118" s="3">
        <v>18</v>
      </c>
      <c r="G118" s="1">
        <v>507500.74</v>
      </c>
    </row>
    <row r="119" spans="1:7" x14ac:dyDescent="0.25">
      <c r="A119" s="2">
        <v>43078</v>
      </c>
      <c r="B119" s="2">
        <v>43078</v>
      </c>
      <c r="C119" t="str">
        <f>"0001203909121716490192792"</f>
        <v>0001203909121716490192792</v>
      </c>
      <c r="D119" t="s">
        <v>1251</v>
      </c>
      <c r="F119" s="3">
        <v>3</v>
      </c>
      <c r="G119" s="1">
        <v>507503.74</v>
      </c>
    </row>
    <row r="120" spans="1:7" x14ac:dyDescent="0.25">
      <c r="A120" s="2">
        <v>43078</v>
      </c>
      <c r="B120" s="2">
        <v>43078</v>
      </c>
      <c r="C120" t="str">
        <f>"0001203909121716490192793"</f>
        <v>0001203909121716490192793</v>
      </c>
      <c r="D120" t="s">
        <v>1252</v>
      </c>
      <c r="F120" s="3">
        <v>23</v>
      </c>
      <c r="G120" s="1">
        <v>507526.74</v>
      </c>
    </row>
    <row r="121" spans="1:7" x14ac:dyDescent="0.25">
      <c r="A121" s="2">
        <v>43080</v>
      </c>
      <c r="B121" s="2">
        <v>43080</v>
      </c>
      <c r="C121" t="str">
        <f>"F51208698176000|103"</f>
        <v>F51208698176000|103</v>
      </c>
      <c r="D121" t="s">
        <v>1253</v>
      </c>
      <c r="F121" s="3">
        <v>751</v>
      </c>
      <c r="G121" s="1">
        <v>508277.74</v>
      </c>
    </row>
    <row r="122" spans="1:7" x14ac:dyDescent="0.25">
      <c r="A122" s="2">
        <v>43080</v>
      </c>
      <c r="B122" s="2">
        <v>43080</v>
      </c>
      <c r="C122" t="str">
        <f>"S0673421529801|103"</f>
        <v>S0673421529801|103</v>
      </c>
      <c r="D122" t="s">
        <v>1254</v>
      </c>
      <c r="F122" s="3">
        <v>1647</v>
      </c>
      <c r="G122" s="1">
        <v>509924.74</v>
      </c>
    </row>
    <row r="123" spans="1:7" x14ac:dyDescent="0.25">
      <c r="A123" s="2">
        <v>43080</v>
      </c>
      <c r="B123" s="2">
        <v>43080</v>
      </c>
      <c r="C123" t="str">
        <f>"EM0612003887035I|103"</f>
        <v>EM0612003887035I|103</v>
      </c>
      <c r="D123" t="s">
        <v>1255</v>
      </c>
      <c r="F123" s="3">
        <v>1556</v>
      </c>
      <c r="G123" s="1">
        <v>511480.74</v>
      </c>
    </row>
    <row r="124" spans="1:7" x14ac:dyDescent="0.25">
      <c r="A124" s="2">
        <v>43080</v>
      </c>
      <c r="B124" s="2">
        <v>43080</v>
      </c>
      <c r="C124" t="str">
        <f>"F51208698176000|103"</f>
        <v>F51208698176000|103</v>
      </c>
      <c r="D124" t="s">
        <v>1256</v>
      </c>
      <c r="E124" s="3">
        <v>7.51</v>
      </c>
      <c r="G124" s="1">
        <v>511473.23</v>
      </c>
    </row>
    <row r="125" spans="1:7" x14ac:dyDescent="0.25">
      <c r="A125" s="2">
        <v>43080</v>
      </c>
      <c r="B125" s="2">
        <v>43080</v>
      </c>
      <c r="C125" t="str">
        <f>"FT17345TG5X2|103"</f>
        <v>FT17345TG5X2|103</v>
      </c>
      <c r="D125" t="s">
        <v>1257</v>
      </c>
      <c r="F125" s="3">
        <v>2265</v>
      </c>
      <c r="G125" s="1">
        <v>513738.23</v>
      </c>
    </row>
    <row r="126" spans="1:7" x14ac:dyDescent="0.25">
      <c r="A126" s="2">
        <v>43080</v>
      </c>
      <c r="B126" s="2">
        <v>43080</v>
      </c>
      <c r="C126" t="str">
        <f>"0001200211121715420091359"</f>
        <v>0001200211121715420091359</v>
      </c>
      <c r="D126" t="s">
        <v>110</v>
      </c>
      <c r="F126" s="3">
        <v>80</v>
      </c>
      <c r="G126" s="1">
        <v>513818.23</v>
      </c>
    </row>
    <row r="127" spans="1:7" x14ac:dyDescent="0.25">
      <c r="A127" s="2">
        <v>43080</v>
      </c>
      <c r="B127" s="2">
        <v>43080</v>
      </c>
      <c r="C127" t="str">
        <f>"0001200211121715420091362"</f>
        <v>0001200211121715420091362</v>
      </c>
      <c r="D127" t="s">
        <v>110</v>
      </c>
      <c r="F127" s="3">
        <v>194</v>
      </c>
      <c r="G127" s="1">
        <v>514012.23</v>
      </c>
    </row>
    <row r="128" spans="1:7" x14ac:dyDescent="0.25">
      <c r="A128" s="2">
        <v>43080</v>
      </c>
      <c r="B128" s="2">
        <v>43080</v>
      </c>
      <c r="C128" t="str">
        <f>"0001200211121715430091364"</f>
        <v>0001200211121715430091364</v>
      </c>
      <c r="D128" t="s">
        <v>110</v>
      </c>
      <c r="F128" s="3">
        <v>450</v>
      </c>
      <c r="G128" s="1">
        <v>514462.23</v>
      </c>
    </row>
    <row r="129" spans="1:7" x14ac:dyDescent="0.25">
      <c r="A129" s="2">
        <v>43080</v>
      </c>
      <c r="B129" s="2">
        <v>43080</v>
      </c>
      <c r="C129" t="str">
        <f>"0001200211121715430091365"</f>
        <v>0001200211121715430091365</v>
      </c>
      <c r="D129" t="s">
        <v>110</v>
      </c>
      <c r="F129" s="3">
        <v>40</v>
      </c>
      <c r="G129" s="1">
        <v>514502.23</v>
      </c>
    </row>
    <row r="130" spans="1:7" x14ac:dyDescent="0.25">
      <c r="A130" s="2">
        <v>43080</v>
      </c>
      <c r="B130" s="2">
        <v>43080</v>
      </c>
      <c r="C130" t="str">
        <f>"077FT04173450065|103"</f>
        <v>077FT04173450065|103</v>
      </c>
      <c r="D130" t="s">
        <v>1258</v>
      </c>
      <c r="F130" s="3">
        <v>22045</v>
      </c>
      <c r="G130" s="1">
        <v>547882.23</v>
      </c>
    </row>
    <row r="131" spans="1:7" x14ac:dyDescent="0.25">
      <c r="A131" s="2">
        <v>43080</v>
      </c>
      <c r="B131" s="2">
        <v>43080</v>
      </c>
      <c r="C131" t="str">
        <f>"3734501993|103"</f>
        <v>3734501993|103</v>
      </c>
      <c r="D131" t="s">
        <v>1259</v>
      </c>
      <c r="F131" s="3">
        <v>3511</v>
      </c>
      <c r="G131" s="1">
        <v>551393.23</v>
      </c>
    </row>
    <row r="132" spans="1:7" x14ac:dyDescent="0.25">
      <c r="A132" s="2">
        <v>43080</v>
      </c>
      <c r="B132" s="2">
        <v>43080</v>
      </c>
      <c r="C132" t="str">
        <f>"00000000  "</f>
        <v xml:space="preserve">00000000  </v>
      </c>
      <c r="D132" t="s">
        <v>1260</v>
      </c>
      <c r="F132" s="3">
        <v>1442.92</v>
      </c>
      <c r="G132" s="1">
        <v>552836.15</v>
      </c>
    </row>
    <row r="133" spans="1:7" x14ac:dyDescent="0.25">
      <c r="A133" s="2">
        <v>43082</v>
      </c>
      <c r="B133" s="2">
        <v>43082</v>
      </c>
      <c r="C133" t="str">
        <f>"00106952  "</f>
        <v xml:space="preserve">00106952  </v>
      </c>
      <c r="D133" t="s">
        <v>1261</v>
      </c>
      <c r="E133" s="3">
        <v>2004.28</v>
      </c>
      <c r="G133" s="1">
        <v>550831.87</v>
      </c>
    </row>
    <row r="134" spans="1:7" x14ac:dyDescent="0.25">
      <c r="A134" s="2">
        <v>43082</v>
      </c>
      <c r="B134" s="2">
        <v>43082</v>
      </c>
      <c r="C134" t="str">
        <f>"00106945  "</f>
        <v xml:space="preserve">00106945  </v>
      </c>
      <c r="D134" t="s">
        <v>1262</v>
      </c>
      <c r="E134" s="3">
        <v>450</v>
      </c>
      <c r="G134" s="1">
        <v>550381.87</v>
      </c>
    </row>
    <row r="135" spans="1:7" x14ac:dyDescent="0.25">
      <c r="A135" s="2">
        <v>43082</v>
      </c>
      <c r="B135" s="2">
        <v>43082</v>
      </c>
      <c r="C135" t="str">
        <f>"00106953  "</f>
        <v xml:space="preserve">00106953  </v>
      </c>
      <c r="D135" t="s">
        <v>1263</v>
      </c>
      <c r="E135" s="3">
        <v>2303.1799999999998</v>
      </c>
      <c r="G135" s="1">
        <v>548078.68999999994</v>
      </c>
    </row>
    <row r="136" spans="1:7" x14ac:dyDescent="0.25">
      <c r="A136" s="2">
        <v>43082</v>
      </c>
      <c r="B136" s="2">
        <v>43082</v>
      </c>
      <c r="C136" t="str">
        <f>"0001200213121712150091940"</f>
        <v>0001200213121712150091940</v>
      </c>
      <c r="D136" t="s">
        <v>211</v>
      </c>
      <c r="E136" s="3">
        <v>4576.68</v>
      </c>
      <c r="G136" s="1">
        <v>543502.01</v>
      </c>
    </row>
    <row r="137" spans="1:7" x14ac:dyDescent="0.25">
      <c r="A137" s="2">
        <v>43082</v>
      </c>
      <c r="B137" s="2">
        <v>43082</v>
      </c>
      <c r="C137" t="str">
        <f>"3734701548|103"</f>
        <v>3734701548|103</v>
      </c>
      <c r="D137" t="s">
        <v>1264</v>
      </c>
      <c r="F137" s="3">
        <v>5081</v>
      </c>
      <c r="G137" s="1">
        <v>548583.01</v>
      </c>
    </row>
    <row r="138" spans="1:7" x14ac:dyDescent="0.25">
      <c r="A138" s="2">
        <v>43082</v>
      </c>
      <c r="B138" s="2">
        <v>43082</v>
      </c>
      <c r="C138" t="str">
        <f>"6569600345FC|103"</f>
        <v>6569600345FC|103</v>
      </c>
      <c r="D138" t="s">
        <v>1265</v>
      </c>
      <c r="F138" s="3">
        <v>3073</v>
      </c>
      <c r="G138" s="1">
        <v>551656.01</v>
      </c>
    </row>
    <row r="139" spans="1:7" x14ac:dyDescent="0.25">
      <c r="A139" s="2">
        <v>43082</v>
      </c>
      <c r="B139" s="2">
        <v>43082</v>
      </c>
      <c r="C139" t="str">
        <f>"6746000346FC|103"</f>
        <v>6746000346FC|103</v>
      </c>
      <c r="D139" t="s">
        <v>1266</v>
      </c>
      <c r="F139" s="3">
        <v>4383</v>
      </c>
      <c r="G139" s="1">
        <v>556039.01</v>
      </c>
    </row>
    <row r="140" spans="1:7" x14ac:dyDescent="0.25">
      <c r="A140" s="2">
        <v>43082</v>
      </c>
      <c r="B140" s="2">
        <v>43082</v>
      </c>
      <c r="C140" t="str">
        <f>"8025800345FC|103"</f>
        <v>8025800345FC|103</v>
      </c>
      <c r="D140" t="s">
        <v>1267</v>
      </c>
      <c r="F140" s="3">
        <v>791</v>
      </c>
      <c r="G140" s="1">
        <v>556830.01</v>
      </c>
    </row>
    <row r="141" spans="1:7" x14ac:dyDescent="0.25">
      <c r="A141" s="2">
        <v>43082</v>
      </c>
      <c r="B141" s="2">
        <v>43082</v>
      </c>
      <c r="C141" t="str">
        <f>"6476400345FC|103"</f>
        <v>6476400345FC|103</v>
      </c>
      <c r="D141" t="s">
        <v>1268</v>
      </c>
      <c r="F141" s="3">
        <v>30</v>
      </c>
      <c r="G141" s="1">
        <v>556860.01</v>
      </c>
    </row>
    <row r="142" spans="1:7" x14ac:dyDescent="0.25">
      <c r="A142" s="2">
        <v>43082</v>
      </c>
      <c r="B142" s="2">
        <v>43082</v>
      </c>
      <c r="C142" t="str">
        <f>"6484300345FC|103"</f>
        <v>6484300345FC|103</v>
      </c>
      <c r="D142" t="s">
        <v>1269</v>
      </c>
      <c r="F142" s="3">
        <v>1969</v>
      </c>
      <c r="G142" s="1">
        <v>558829.01</v>
      </c>
    </row>
    <row r="143" spans="1:7" x14ac:dyDescent="0.25">
      <c r="A143" s="2">
        <v>43082</v>
      </c>
      <c r="B143" s="2">
        <v>43082</v>
      </c>
      <c r="C143" t="str">
        <f>"8017900345FC|103"</f>
        <v>8017900345FC|103</v>
      </c>
      <c r="D143" t="s">
        <v>1270</v>
      </c>
      <c r="F143" s="3">
        <v>40</v>
      </c>
      <c r="G143" s="1">
        <v>558869.01</v>
      </c>
    </row>
    <row r="144" spans="1:7" x14ac:dyDescent="0.25">
      <c r="A144" s="2">
        <v>43082</v>
      </c>
      <c r="B144" s="2">
        <v>43082</v>
      </c>
      <c r="C144" t="str">
        <f>"8025100345FC|103"</f>
        <v>8025100345FC|103</v>
      </c>
      <c r="D144" t="s">
        <v>1271</v>
      </c>
      <c r="F144" s="3">
        <v>15</v>
      </c>
      <c r="G144" s="1">
        <v>558884.01</v>
      </c>
    </row>
    <row r="145" spans="1:7" x14ac:dyDescent="0.25">
      <c r="A145" s="2">
        <v>43082</v>
      </c>
      <c r="B145" s="2">
        <v>43082</v>
      </c>
      <c r="C145" t="str">
        <f>"6480400345FC|103"</f>
        <v>6480400345FC|103</v>
      </c>
      <c r="D145" t="s">
        <v>1272</v>
      </c>
      <c r="F145" s="3">
        <v>1226</v>
      </c>
      <c r="G145" s="1">
        <v>560110.01</v>
      </c>
    </row>
    <row r="146" spans="1:7" x14ac:dyDescent="0.25">
      <c r="A146" s="2">
        <v>43082</v>
      </c>
      <c r="B146" s="2">
        <v>43082</v>
      </c>
      <c r="C146" t="str">
        <f>"8011800345FC|103"</f>
        <v>8011800345FC|103</v>
      </c>
      <c r="D146" t="s">
        <v>1273</v>
      </c>
      <c r="F146" s="3">
        <v>795</v>
      </c>
      <c r="G146" s="1">
        <v>560905.01</v>
      </c>
    </row>
    <row r="147" spans="1:7" x14ac:dyDescent="0.25">
      <c r="A147" s="2">
        <v>43082</v>
      </c>
      <c r="B147" s="2">
        <v>43082</v>
      </c>
      <c r="C147" t="str">
        <f>"6489100345FC|103"</f>
        <v>6489100345FC|103</v>
      </c>
      <c r="D147" t="s">
        <v>1274</v>
      </c>
      <c r="F147" s="3">
        <v>1049</v>
      </c>
      <c r="G147" s="1">
        <v>561954.01</v>
      </c>
    </row>
    <row r="148" spans="1:7" x14ac:dyDescent="0.25">
      <c r="A148" s="2">
        <v>43082</v>
      </c>
      <c r="B148" s="2">
        <v>43082</v>
      </c>
      <c r="C148" t="str">
        <f>"6487300345FC|103"</f>
        <v>6487300345FC|103</v>
      </c>
      <c r="D148" t="s">
        <v>1275</v>
      </c>
      <c r="F148" s="3">
        <v>2515</v>
      </c>
      <c r="G148" s="1">
        <v>564469.01</v>
      </c>
    </row>
    <row r="149" spans="1:7" x14ac:dyDescent="0.25">
      <c r="A149" s="2">
        <v>43082</v>
      </c>
      <c r="B149" s="2">
        <v>43082</v>
      </c>
      <c r="C149" t="str">
        <f>"2320900346FC|103"</f>
        <v>2320900346FC|103</v>
      </c>
      <c r="D149" t="s">
        <v>1276</v>
      </c>
      <c r="F149" s="3">
        <v>557</v>
      </c>
      <c r="G149" s="1">
        <v>565026.01</v>
      </c>
    </row>
    <row r="150" spans="1:7" x14ac:dyDescent="0.25">
      <c r="A150" s="2">
        <v>43082</v>
      </c>
      <c r="B150" s="2">
        <v>43082</v>
      </c>
      <c r="C150" t="str">
        <f>"022FT10173450059|103"</f>
        <v>022FT10173450059|103</v>
      </c>
      <c r="D150" t="s">
        <v>1277</v>
      </c>
      <c r="F150" s="3">
        <v>220</v>
      </c>
      <c r="G150" s="1">
        <v>565246.01</v>
      </c>
    </row>
    <row r="151" spans="1:7" x14ac:dyDescent="0.25">
      <c r="A151" s="2">
        <v>43082</v>
      </c>
      <c r="B151" s="2">
        <v>43082</v>
      </c>
      <c r="C151" t="str">
        <f>"SE07801712133266|103"</f>
        <v>SE07801712133266|103</v>
      </c>
      <c r="D151" t="s">
        <v>1278</v>
      </c>
      <c r="F151" s="3">
        <v>8051</v>
      </c>
      <c r="G151" s="1">
        <v>573297.01</v>
      </c>
    </row>
    <row r="152" spans="1:7" x14ac:dyDescent="0.25">
      <c r="A152" s="2">
        <v>43082</v>
      </c>
      <c r="B152" s="2">
        <v>43082</v>
      </c>
      <c r="C152" t="str">
        <f>"6746000346FC|103"</f>
        <v>6746000346FC|103</v>
      </c>
      <c r="D152" t="s">
        <v>1279</v>
      </c>
      <c r="E152" s="3">
        <v>10</v>
      </c>
      <c r="G152" s="1">
        <v>573287.01</v>
      </c>
    </row>
    <row r="153" spans="1:7" x14ac:dyDescent="0.25">
      <c r="A153" s="2">
        <v>43082</v>
      </c>
      <c r="B153" s="2">
        <v>43082</v>
      </c>
      <c r="C153" t="str">
        <f>"6569600345FC|103"</f>
        <v>6569600345FC|103</v>
      </c>
      <c r="D153" t="s">
        <v>1280</v>
      </c>
      <c r="E153" s="3">
        <v>10</v>
      </c>
      <c r="G153" s="1">
        <v>573277.01</v>
      </c>
    </row>
    <row r="154" spans="1:7" x14ac:dyDescent="0.25">
      <c r="A154" s="2">
        <v>43082</v>
      </c>
      <c r="B154" s="2">
        <v>43082</v>
      </c>
      <c r="C154" t="str">
        <f>"2320900346FC|103"</f>
        <v>2320900346FC|103</v>
      </c>
      <c r="D154" t="s">
        <v>1281</v>
      </c>
      <c r="E154" s="3">
        <v>5.57</v>
      </c>
      <c r="G154" s="1">
        <v>573271.43999999994</v>
      </c>
    </row>
    <row r="155" spans="1:7" x14ac:dyDescent="0.25">
      <c r="A155" s="2">
        <v>43082</v>
      </c>
      <c r="B155" s="2">
        <v>43082</v>
      </c>
      <c r="C155" t="str">
        <f>"6487300345FC|103"</f>
        <v>6487300345FC|103</v>
      </c>
      <c r="D155" t="s">
        <v>1282</v>
      </c>
      <c r="E155" s="3">
        <v>10</v>
      </c>
      <c r="G155" s="1">
        <v>573261.43999999994</v>
      </c>
    </row>
    <row r="156" spans="1:7" x14ac:dyDescent="0.25">
      <c r="A156" s="2">
        <v>43082</v>
      </c>
      <c r="B156" s="2">
        <v>43082</v>
      </c>
      <c r="C156" t="str">
        <f>"6489100345FC|103"</f>
        <v>6489100345FC|103</v>
      </c>
      <c r="D156" t="s">
        <v>1283</v>
      </c>
      <c r="E156" s="3">
        <v>10</v>
      </c>
      <c r="G156" s="1">
        <v>573251.43999999994</v>
      </c>
    </row>
    <row r="157" spans="1:7" x14ac:dyDescent="0.25">
      <c r="A157" s="2">
        <v>43082</v>
      </c>
      <c r="B157" s="2">
        <v>43082</v>
      </c>
      <c r="C157" t="str">
        <f>"8011800345FC|103"</f>
        <v>8011800345FC|103</v>
      </c>
      <c r="D157" t="s">
        <v>1284</v>
      </c>
      <c r="E157" s="3">
        <v>7.95</v>
      </c>
      <c r="G157" s="1">
        <v>573243.49</v>
      </c>
    </row>
    <row r="158" spans="1:7" x14ac:dyDescent="0.25">
      <c r="A158" s="2">
        <v>43082</v>
      </c>
      <c r="B158" s="2">
        <v>43082</v>
      </c>
      <c r="C158" t="str">
        <f>"6480400345FC|103"</f>
        <v>6480400345FC|103</v>
      </c>
      <c r="D158" t="s">
        <v>1285</v>
      </c>
      <c r="E158" s="3">
        <v>10</v>
      </c>
      <c r="G158" s="1">
        <v>573233.49</v>
      </c>
    </row>
    <row r="159" spans="1:7" x14ac:dyDescent="0.25">
      <c r="A159" s="2">
        <v>43082</v>
      </c>
      <c r="B159" s="2">
        <v>43082</v>
      </c>
      <c r="C159" t="str">
        <f>"8025100345FC|103"</f>
        <v>8025100345FC|103</v>
      </c>
      <c r="D159" t="s">
        <v>1286</v>
      </c>
      <c r="E159" s="3">
        <v>4</v>
      </c>
      <c r="G159" s="1">
        <v>573229.49</v>
      </c>
    </row>
    <row r="160" spans="1:7" x14ac:dyDescent="0.25">
      <c r="A160" s="2">
        <v>43082</v>
      </c>
      <c r="B160" s="2">
        <v>43082</v>
      </c>
      <c r="C160" t="str">
        <f>"8017900345FC|103"</f>
        <v>8017900345FC|103</v>
      </c>
      <c r="D160" t="s">
        <v>1287</v>
      </c>
      <c r="E160" s="3">
        <v>4</v>
      </c>
      <c r="G160" s="1">
        <v>573225.49</v>
      </c>
    </row>
    <row r="161" spans="1:7" x14ac:dyDescent="0.25">
      <c r="A161" s="2">
        <v>43082</v>
      </c>
      <c r="B161" s="2">
        <v>43082</v>
      </c>
      <c r="C161" t="str">
        <f>"6484300345FC|103"</f>
        <v>6484300345FC|103</v>
      </c>
      <c r="D161" t="s">
        <v>1288</v>
      </c>
      <c r="E161" s="3">
        <v>10</v>
      </c>
      <c r="G161" s="1">
        <v>573215.49</v>
      </c>
    </row>
    <row r="162" spans="1:7" x14ac:dyDescent="0.25">
      <c r="A162" s="2">
        <v>43082</v>
      </c>
      <c r="B162" s="2">
        <v>43082</v>
      </c>
      <c r="C162" t="str">
        <f>"6476400345FC|103"</f>
        <v>6476400345FC|103</v>
      </c>
      <c r="D162" t="s">
        <v>1289</v>
      </c>
      <c r="E162" s="3">
        <v>4</v>
      </c>
      <c r="G162" s="1">
        <v>573211.49</v>
      </c>
    </row>
    <row r="163" spans="1:7" x14ac:dyDescent="0.25">
      <c r="A163" s="2">
        <v>43082</v>
      </c>
      <c r="B163" s="2">
        <v>43082</v>
      </c>
      <c r="C163" t="str">
        <f>"8025800345FC|103"</f>
        <v>8025800345FC|103</v>
      </c>
      <c r="D163" t="s">
        <v>1290</v>
      </c>
      <c r="E163" s="3">
        <v>7.91</v>
      </c>
      <c r="G163" s="1">
        <v>573203.57999999996</v>
      </c>
    </row>
    <row r="164" spans="1:7" x14ac:dyDescent="0.25">
      <c r="A164" s="2">
        <v>43082</v>
      </c>
      <c r="B164" s="2">
        <v>43082</v>
      </c>
      <c r="C164" t="str">
        <f>"0001200213121715390092271"</f>
        <v>0001200213121715390092271</v>
      </c>
      <c r="D164" t="s">
        <v>274</v>
      </c>
      <c r="F164" s="3">
        <v>800</v>
      </c>
      <c r="G164" s="1">
        <v>574003.57999999996</v>
      </c>
    </row>
    <row r="165" spans="1:7" x14ac:dyDescent="0.25">
      <c r="A165" s="2">
        <v>43082</v>
      </c>
      <c r="B165" s="2">
        <v>43082</v>
      </c>
      <c r="C165" t="str">
        <f>"0001200213121715500092284"</f>
        <v>0001200213121715500092284</v>
      </c>
      <c r="D165" t="s">
        <v>274</v>
      </c>
      <c r="F165" s="3">
        <v>753</v>
      </c>
      <c r="G165" s="1">
        <v>574756.57999999996</v>
      </c>
    </row>
    <row r="166" spans="1:7" x14ac:dyDescent="0.25">
      <c r="A166" s="2">
        <v>43082</v>
      </c>
      <c r="B166" s="2">
        <v>43082</v>
      </c>
      <c r="C166" t="str">
        <f>"0001200213121715500092286"</f>
        <v>0001200213121715500092286</v>
      </c>
      <c r="D166" t="s">
        <v>274</v>
      </c>
      <c r="F166" s="3">
        <v>745</v>
      </c>
      <c r="G166" s="1">
        <v>575501.57999999996</v>
      </c>
    </row>
    <row r="167" spans="1:7" x14ac:dyDescent="0.25">
      <c r="A167" s="2">
        <v>43082</v>
      </c>
      <c r="B167" s="2">
        <v>43082</v>
      </c>
      <c r="C167" t="str">
        <f>"0001200213121715510092287"</f>
        <v>0001200213121715510092287</v>
      </c>
      <c r="D167" t="s">
        <v>274</v>
      </c>
      <c r="F167" s="3">
        <v>473</v>
      </c>
      <c r="G167" s="1">
        <v>575974.57999999996</v>
      </c>
    </row>
    <row r="168" spans="1:7" x14ac:dyDescent="0.25">
      <c r="A168" s="2">
        <v>43082</v>
      </c>
      <c r="B168" s="2">
        <v>43082</v>
      </c>
      <c r="C168" t="str">
        <f>"SE07801712133816|103"</f>
        <v>SE07801712133816|103</v>
      </c>
      <c r="D168" t="s">
        <v>1291</v>
      </c>
      <c r="F168" s="3">
        <v>799</v>
      </c>
      <c r="G168" s="1">
        <v>599296.57999999996</v>
      </c>
    </row>
    <row r="169" spans="1:7" x14ac:dyDescent="0.25">
      <c r="A169" s="2">
        <v>43082</v>
      </c>
      <c r="B169" s="2">
        <v>43082</v>
      </c>
      <c r="C169" t="str">
        <f>"FT173473246D|103"</f>
        <v>FT173473246D|103</v>
      </c>
      <c r="D169" t="s">
        <v>1292</v>
      </c>
      <c r="F169" s="3">
        <v>7143</v>
      </c>
      <c r="G169" s="1">
        <v>606439.57999999996</v>
      </c>
    </row>
    <row r="170" spans="1:7" x14ac:dyDescent="0.25">
      <c r="A170" s="2">
        <v>43082</v>
      </c>
      <c r="B170" s="2">
        <v>43082</v>
      </c>
      <c r="C170" t="str">
        <f>"SE07801712133856|103"</f>
        <v>SE07801712133856|103</v>
      </c>
      <c r="D170" t="s">
        <v>1293</v>
      </c>
      <c r="F170" s="3">
        <v>3303</v>
      </c>
      <c r="G170" s="1">
        <v>609742.57999999996</v>
      </c>
    </row>
    <row r="171" spans="1:7" x14ac:dyDescent="0.25">
      <c r="A171" s="2">
        <v>43082</v>
      </c>
      <c r="B171" s="2">
        <v>43082</v>
      </c>
      <c r="C171" t="str">
        <f>"SE07801712133854|103"</f>
        <v>SE07801712133854|103</v>
      </c>
      <c r="D171" t="s">
        <v>1294</v>
      </c>
      <c r="F171" s="3">
        <v>1227</v>
      </c>
      <c r="G171" s="1">
        <v>610969.57999999996</v>
      </c>
    </row>
    <row r="172" spans="1:7" x14ac:dyDescent="0.25">
      <c r="A172" s="2">
        <v>43082</v>
      </c>
      <c r="B172" s="2">
        <v>43082</v>
      </c>
      <c r="C172" t="str">
        <f>"00000000"</f>
        <v>00000000</v>
      </c>
      <c r="D172" t="s">
        <v>1295</v>
      </c>
      <c r="E172" s="3">
        <v>10</v>
      </c>
      <c r="G172" s="1">
        <v>610959.57999999996</v>
      </c>
    </row>
    <row r="173" spans="1:7" x14ac:dyDescent="0.25">
      <c r="A173" s="2">
        <v>43082</v>
      </c>
      <c r="B173" s="2">
        <v>43082</v>
      </c>
      <c r="C173" t="str">
        <f>"00000000"</f>
        <v>00000000</v>
      </c>
      <c r="D173" t="s">
        <v>1295</v>
      </c>
      <c r="E173" s="3">
        <v>1</v>
      </c>
      <c r="G173" s="1">
        <v>610958.57999999996</v>
      </c>
    </row>
    <row r="174" spans="1:7" x14ac:dyDescent="0.25">
      <c r="A174" s="2">
        <v>43082</v>
      </c>
      <c r="B174" s="2">
        <v>43082</v>
      </c>
      <c r="C174" t="str">
        <f>"00000000"</f>
        <v>00000000</v>
      </c>
      <c r="D174" t="s">
        <v>1295</v>
      </c>
      <c r="F174" s="3">
        <v>70769</v>
      </c>
      <c r="G174" s="1">
        <v>681727.58</v>
      </c>
    </row>
    <row r="175" spans="1:7" x14ac:dyDescent="0.25">
      <c r="A175" s="2">
        <v>43083</v>
      </c>
      <c r="B175" s="2">
        <v>43083</v>
      </c>
      <c r="C175" t="str">
        <f>"0001200201121715430082816"</f>
        <v>0001200201121715430082816</v>
      </c>
      <c r="D175" t="s">
        <v>1296</v>
      </c>
      <c r="F175" s="3">
        <v>4532</v>
      </c>
      <c r="G175" s="1">
        <v>-135602.73000000001</v>
      </c>
    </row>
    <row r="176" spans="1:7" x14ac:dyDescent="0.25">
      <c r="A176" s="2">
        <v>43083</v>
      </c>
      <c r="B176" s="2">
        <v>43083</v>
      </c>
      <c r="C176" t="str">
        <f>"0001200201121715450082822"</f>
        <v>0001200201121715450082822</v>
      </c>
      <c r="D176" t="s">
        <v>1178</v>
      </c>
      <c r="F176" s="3">
        <v>382</v>
      </c>
      <c r="G176" s="1">
        <v>-135011.73000000001</v>
      </c>
    </row>
    <row r="177" spans="1:7" x14ac:dyDescent="0.25">
      <c r="A177" s="2">
        <v>43083</v>
      </c>
      <c r="B177" s="2">
        <v>43083</v>
      </c>
      <c r="C177" t="str">
        <f>"0001200201121715460082826"</f>
        <v>0001200201121715460082826</v>
      </c>
      <c r="D177" t="s">
        <v>1297</v>
      </c>
      <c r="F177" s="3">
        <v>2400</v>
      </c>
      <c r="G177" s="1">
        <v>-132611.73000000001</v>
      </c>
    </row>
    <row r="178" spans="1:7" x14ac:dyDescent="0.25">
      <c r="A178" s="2">
        <v>43083</v>
      </c>
      <c r="B178" s="2">
        <v>43083</v>
      </c>
      <c r="C178" t="str">
        <f>"0001200201121715460082830"</f>
        <v>0001200201121715460082830</v>
      </c>
      <c r="D178" t="s">
        <v>1298</v>
      </c>
      <c r="F178" s="3">
        <v>5045</v>
      </c>
      <c r="G178" s="1">
        <v>-127566.73</v>
      </c>
    </row>
    <row r="179" spans="1:7" x14ac:dyDescent="0.25">
      <c r="A179" s="2">
        <v>43083</v>
      </c>
      <c r="B179" s="2">
        <v>43083</v>
      </c>
      <c r="C179" t="str">
        <f>"C769961OCP121317|103"</f>
        <v>C769961OCP121317|103</v>
      </c>
      <c r="D179" t="s">
        <v>1299</v>
      </c>
      <c r="E179" s="3">
        <v>10</v>
      </c>
      <c r="G179" s="1">
        <v>681717.58</v>
      </c>
    </row>
    <row r="180" spans="1:7" x14ac:dyDescent="0.25">
      <c r="A180" s="2">
        <v>43083</v>
      </c>
      <c r="B180" s="2">
        <v>43083</v>
      </c>
      <c r="C180" t="str">
        <f>"C771996OCP121317|103"</f>
        <v>C771996OCP121317|103</v>
      </c>
      <c r="D180" t="s">
        <v>1300</v>
      </c>
      <c r="E180" s="3">
        <v>10</v>
      </c>
      <c r="G180" s="1">
        <v>681707.58</v>
      </c>
    </row>
    <row r="181" spans="1:7" x14ac:dyDescent="0.25">
      <c r="A181" s="2">
        <v>43083</v>
      </c>
      <c r="B181" s="2">
        <v>43083</v>
      </c>
      <c r="C181" t="str">
        <f>"C772045OCP121317|103"</f>
        <v>C772045OCP121317|103</v>
      </c>
      <c r="D181" t="s">
        <v>1301</v>
      </c>
      <c r="E181" s="3">
        <v>10</v>
      </c>
      <c r="G181" s="1">
        <v>681697.58</v>
      </c>
    </row>
    <row r="182" spans="1:7" x14ac:dyDescent="0.25">
      <c r="A182" s="2">
        <v>43083</v>
      </c>
      <c r="B182" s="2">
        <v>43083</v>
      </c>
      <c r="C182" t="str">
        <f>"FT17347JTYVK|103"</f>
        <v>FT17347JTYVK|103</v>
      </c>
      <c r="D182" t="s">
        <v>1302</v>
      </c>
      <c r="F182" s="3">
        <v>3743</v>
      </c>
      <c r="G182" s="1">
        <v>685440.58</v>
      </c>
    </row>
    <row r="183" spans="1:7" x14ac:dyDescent="0.25">
      <c r="A183" s="2">
        <v>43083</v>
      </c>
      <c r="B183" s="2">
        <v>43083</v>
      </c>
      <c r="C183" t="str">
        <f>"3734800770|103"</f>
        <v>3734800770|103</v>
      </c>
      <c r="D183" t="s">
        <v>1303</v>
      </c>
      <c r="F183" s="3">
        <v>20572</v>
      </c>
      <c r="G183" s="1">
        <v>706012.58</v>
      </c>
    </row>
    <row r="184" spans="1:7" x14ac:dyDescent="0.25">
      <c r="A184" s="2">
        <v>43083</v>
      </c>
      <c r="B184" s="2">
        <v>43083</v>
      </c>
      <c r="C184" t="str">
        <f>"SE07801712141446|103"</f>
        <v>SE07801712141446|103</v>
      </c>
      <c r="D184" t="s">
        <v>1304</v>
      </c>
      <c r="F184" s="3">
        <v>2206</v>
      </c>
      <c r="G184" s="1">
        <v>708218.58</v>
      </c>
    </row>
    <row r="185" spans="1:7" x14ac:dyDescent="0.25">
      <c r="A185" s="2">
        <v>43083</v>
      </c>
      <c r="B185" s="2">
        <v>43083</v>
      </c>
      <c r="C185" t="str">
        <f>"3734801823|103"</f>
        <v>3734801823|103</v>
      </c>
      <c r="D185" t="s">
        <v>1305</v>
      </c>
      <c r="F185" s="3">
        <v>17135.53</v>
      </c>
      <c r="G185" s="1">
        <v>725354.11</v>
      </c>
    </row>
    <row r="186" spans="1:7" x14ac:dyDescent="0.25">
      <c r="A186" s="2">
        <v>43083</v>
      </c>
      <c r="B186" s="2">
        <v>43083</v>
      </c>
      <c r="C186" t="str">
        <f>"C769961OCP121317|103"</f>
        <v>C769961OCP121317|103</v>
      </c>
      <c r="D186" t="s">
        <v>1306</v>
      </c>
      <c r="F186" s="3">
        <v>1000000</v>
      </c>
      <c r="G186" s="1">
        <v>1725354.11</v>
      </c>
    </row>
    <row r="187" spans="1:7" x14ac:dyDescent="0.25">
      <c r="A187" s="2">
        <v>43083</v>
      </c>
      <c r="B187" s="2">
        <v>43083</v>
      </c>
      <c r="C187" t="str">
        <f>"PET505348347|103"</f>
        <v>PET505348347|103</v>
      </c>
      <c r="D187" t="s">
        <v>1307</v>
      </c>
      <c r="F187" s="3">
        <v>2119</v>
      </c>
      <c r="G187" s="1">
        <v>1727473.11</v>
      </c>
    </row>
    <row r="188" spans="1:7" x14ac:dyDescent="0.25">
      <c r="A188" s="2">
        <v>43083</v>
      </c>
      <c r="B188" s="2">
        <v>43083</v>
      </c>
      <c r="C188" t="str">
        <f>"C771996OCP121317|103"</f>
        <v>C771996OCP121317|103</v>
      </c>
      <c r="D188" t="s">
        <v>1308</v>
      </c>
      <c r="F188" s="3">
        <v>99955</v>
      </c>
      <c r="G188" s="1">
        <v>1827428.11</v>
      </c>
    </row>
    <row r="189" spans="1:7" x14ac:dyDescent="0.25">
      <c r="A189" s="2">
        <v>43083</v>
      </c>
      <c r="B189" s="2">
        <v>43083</v>
      </c>
      <c r="C189" t="str">
        <f>"C772045OCP121317|103"</f>
        <v>C772045OCP121317|103</v>
      </c>
      <c r="D189" t="s">
        <v>1309</v>
      </c>
      <c r="F189" s="3">
        <v>200000</v>
      </c>
      <c r="G189" s="1">
        <v>2027428.11</v>
      </c>
    </row>
    <row r="190" spans="1:7" x14ac:dyDescent="0.25">
      <c r="A190" s="2">
        <v>43083</v>
      </c>
      <c r="B190" s="2">
        <v>43083</v>
      </c>
      <c r="C190" t="str">
        <f>"013RTGS173480002|103"</f>
        <v>013RTGS173480002|103</v>
      </c>
      <c r="D190" t="s">
        <v>1310</v>
      </c>
      <c r="F190" s="3">
        <v>55519</v>
      </c>
      <c r="G190" s="1">
        <v>2082947.11</v>
      </c>
    </row>
    <row r="191" spans="1:7" x14ac:dyDescent="0.25">
      <c r="A191" s="2">
        <v>43083</v>
      </c>
      <c r="B191" s="2">
        <v>43083</v>
      </c>
      <c r="C191" t="str">
        <f>"005RCUS141217002|103"</f>
        <v>005RCUS141217002|103</v>
      </c>
      <c r="D191" t="s">
        <v>1311</v>
      </c>
      <c r="F191" s="3">
        <v>12062</v>
      </c>
      <c r="G191" s="1">
        <v>2095009.11</v>
      </c>
    </row>
    <row r="192" spans="1:7" x14ac:dyDescent="0.25">
      <c r="A192" s="2">
        <v>43083</v>
      </c>
      <c r="B192" s="2">
        <v>43083</v>
      </c>
      <c r="C192" t="str">
        <f>"0001209914121711530587077"</f>
        <v>0001209914121711530587077</v>
      </c>
      <c r="D192" t="s">
        <v>1312</v>
      </c>
      <c r="E192" s="3">
        <v>8916</v>
      </c>
      <c r="G192" s="1">
        <v>2086093.12</v>
      </c>
    </row>
    <row r="193" spans="1:7" x14ac:dyDescent="0.25">
      <c r="A193" s="2">
        <v>43083</v>
      </c>
      <c r="B193" s="2">
        <v>43083</v>
      </c>
      <c r="C193" t="str">
        <f>"0001209914121711530587077"</f>
        <v>0001209914121711530587077</v>
      </c>
      <c r="D193" t="s">
        <v>248</v>
      </c>
      <c r="E193" s="3">
        <v>14.54</v>
      </c>
      <c r="G193" s="1">
        <v>2086078.58</v>
      </c>
    </row>
    <row r="194" spans="1:7" x14ac:dyDescent="0.25">
      <c r="A194" s="2">
        <v>43083</v>
      </c>
      <c r="B194" s="2">
        <v>43083</v>
      </c>
      <c r="C194" t="str">
        <f>"0001209914121711530587077"</f>
        <v>0001209914121711530587077</v>
      </c>
      <c r="D194" t="s">
        <v>249</v>
      </c>
      <c r="E194" s="3">
        <v>1.45</v>
      </c>
      <c r="G194" s="1">
        <v>2086077.13</v>
      </c>
    </row>
    <row r="195" spans="1:7" x14ac:dyDescent="0.25">
      <c r="A195" s="2">
        <v>43083</v>
      </c>
      <c r="B195" s="2">
        <v>43083</v>
      </c>
      <c r="C195" t="str">
        <f>"0001200214121713510093075"</f>
        <v>0001200214121713510093075</v>
      </c>
      <c r="D195" t="s">
        <v>211</v>
      </c>
      <c r="E195" s="3">
        <v>7611</v>
      </c>
      <c r="G195" s="1">
        <v>2078466.13</v>
      </c>
    </row>
    <row r="196" spans="1:7" x14ac:dyDescent="0.25">
      <c r="A196" s="2">
        <v>43083</v>
      </c>
      <c r="B196" s="2">
        <v>43083</v>
      </c>
      <c r="C196" t="str">
        <f>"0001209914121714470587229"</f>
        <v>0001209914121714470587229</v>
      </c>
      <c r="D196" t="s">
        <v>1313</v>
      </c>
      <c r="E196" s="3">
        <v>1084553.46</v>
      </c>
      <c r="G196" s="1">
        <v>993912.66</v>
      </c>
    </row>
    <row r="197" spans="1:7" x14ac:dyDescent="0.25">
      <c r="A197" s="2">
        <v>43083</v>
      </c>
      <c r="B197" s="2">
        <v>43083</v>
      </c>
      <c r="C197" t="str">
        <f>"0001209914121714470587229"</f>
        <v>0001209914121714470587229</v>
      </c>
      <c r="D197" t="s">
        <v>307</v>
      </c>
      <c r="E197" s="3">
        <v>4.84</v>
      </c>
      <c r="G197" s="1">
        <v>993907.82</v>
      </c>
    </row>
    <row r="198" spans="1:7" x14ac:dyDescent="0.25">
      <c r="A198" s="2">
        <v>43083</v>
      </c>
      <c r="B198" s="2">
        <v>43083</v>
      </c>
      <c r="C198" t="str">
        <f>"0001209914121714470587229"</f>
        <v>0001209914121714470587229</v>
      </c>
      <c r="D198" t="s">
        <v>249</v>
      </c>
      <c r="E198" s="3">
        <v>0.48</v>
      </c>
      <c r="G198" s="1">
        <v>993907.34</v>
      </c>
    </row>
    <row r="199" spans="1:7" x14ac:dyDescent="0.25">
      <c r="A199" s="2">
        <v>43083</v>
      </c>
      <c r="B199" s="2">
        <v>43083</v>
      </c>
      <c r="C199" t="str">
        <f>"0001209914121714530587232"</f>
        <v>0001209914121714530587232</v>
      </c>
      <c r="D199" t="s">
        <v>1314</v>
      </c>
      <c r="E199" s="3">
        <v>824791.34</v>
      </c>
      <c r="G199" s="1">
        <v>169116</v>
      </c>
    </row>
    <row r="200" spans="1:7" x14ac:dyDescent="0.25">
      <c r="A200" s="2">
        <v>43083</v>
      </c>
      <c r="B200" s="2">
        <v>43083</v>
      </c>
      <c r="C200" t="str">
        <f>"0001209914121714530587232"</f>
        <v>0001209914121714530587232</v>
      </c>
      <c r="D200" t="s">
        <v>307</v>
      </c>
      <c r="E200" s="3">
        <v>4.84</v>
      </c>
      <c r="G200" s="1">
        <v>169111.16</v>
      </c>
    </row>
    <row r="201" spans="1:7" x14ac:dyDescent="0.25">
      <c r="A201" s="2">
        <v>43083</v>
      </c>
      <c r="B201" s="2">
        <v>43083</v>
      </c>
      <c r="C201" t="str">
        <f>"0001209914121714530587232"</f>
        <v>0001209914121714530587232</v>
      </c>
      <c r="D201" t="s">
        <v>249</v>
      </c>
      <c r="E201" s="3">
        <v>0.48</v>
      </c>
      <c r="G201" s="1">
        <v>169110.68</v>
      </c>
    </row>
    <row r="202" spans="1:7" x14ac:dyDescent="0.25">
      <c r="A202" s="2">
        <v>43083</v>
      </c>
      <c r="B202" s="2">
        <v>43083</v>
      </c>
      <c r="C202" t="str">
        <f>"0001203914121715240202439"</f>
        <v>0001203914121715240202439</v>
      </c>
      <c r="D202" t="s">
        <v>1315</v>
      </c>
      <c r="F202" s="3">
        <v>25</v>
      </c>
      <c r="G202" s="1">
        <v>169135.68</v>
      </c>
    </row>
    <row r="203" spans="1:7" x14ac:dyDescent="0.25">
      <c r="A203" s="2">
        <v>43083</v>
      </c>
      <c r="B203" s="2">
        <v>43083</v>
      </c>
      <c r="C203" t="str">
        <f>"3734804776|103"</f>
        <v>3734804776|103</v>
      </c>
      <c r="D203" t="s">
        <v>1316</v>
      </c>
      <c r="F203" s="3">
        <v>19188</v>
      </c>
      <c r="G203" s="1">
        <v>188323.68</v>
      </c>
    </row>
    <row r="204" spans="1:7" x14ac:dyDescent="0.25">
      <c r="A204" s="2">
        <v>43083</v>
      </c>
      <c r="B204" s="2">
        <v>43083</v>
      </c>
      <c r="C204" t="str">
        <f>"991412MOAB03"</f>
        <v>991412MOAB03</v>
      </c>
      <c r="D204" t="s">
        <v>1317</v>
      </c>
      <c r="F204" s="3">
        <v>101.92</v>
      </c>
      <c r="G204" s="1">
        <v>188425.60000000001</v>
      </c>
    </row>
    <row r="205" spans="1:7" x14ac:dyDescent="0.25">
      <c r="A205" s="2">
        <v>43084</v>
      </c>
      <c r="B205" s="2">
        <v>43084</v>
      </c>
      <c r="C205" t="str">
        <f>"0001200205121715320085761"</f>
        <v>0001200205121715320085761</v>
      </c>
      <c r="D205" t="s">
        <v>1318</v>
      </c>
      <c r="F205" s="3">
        <v>1586</v>
      </c>
      <c r="G205" s="1">
        <v>415725.23</v>
      </c>
    </row>
    <row r="206" spans="1:7" x14ac:dyDescent="0.25">
      <c r="A206" s="2">
        <v>43084</v>
      </c>
      <c r="B206" s="2">
        <v>43084</v>
      </c>
      <c r="C206" t="str">
        <f>"0001200205121715340085766"</f>
        <v>0001200205121715340085766</v>
      </c>
      <c r="D206" t="s">
        <v>1319</v>
      </c>
      <c r="F206" s="3">
        <v>674</v>
      </c>
      <c r="G206" s="1">
        <v>416399.23</v>
      </c>
    </row>
    <row r="207" spans="1:7" x14ac:dyDescent="0.25">
      <c r="A207" s="2">
        <v>43084</v>
      </c>
      <c r="B207" s="2">
        <v>43084</v>
      </c>
      <c r="C207" t="str">
        <f>"0001201205121715490031664"</f>
        <v>0001201205121715490031664</v>
      </c>
      <c r="D207" t="s">
        <v>1320</v>
      </c>
      <c r="F207" s="3">
        <v>113</v>
      </c>
      <c r="G207" s="1">
        <v>416512.23</v>
      </c>
    </row>
    <row r="208" spans="1:7" x14ac:dyDescent="0.25">
      <c r="A208" s="2">
        <v>43084</v>
      </c>
      <c r="B208" s="2">
        <v>43084</v>
      </c>
      <c r="C208" t="str">
        <f>"00106944  "</f>
        <v xml:space="preserve">00106944  </v>
      </c>
      <c r="D208" t="s">
        <v>1321</v>
      </c>
      <c r="E208" s="3">
        <v>250</v>
      </c>
      <c r="G208" s="1">
        <v>188175.6</v>
      </c>
    </row>
    <row r="209" spans="1:7" x14ac:dyDescent="0.25">
      <c r="A209" s="2">
        <v>43084</v>
      </c>
      <c r="B209" s="2">
        <v>43084</v>
      </c>
      <c r="C209" t="str">
        <f>"S0673481196101|103"</f>
        <v>S0673481196101|103</v>
      </c>
      <c r="D209" t="s">
        <v>1322</v>
      </c>
      <c r="F209" s="3">
        <v>31894</v>
      </c>
      <c r="G209" s="1">
        <v>220069.6</v>
      </c>
    </row>
    <row r="210" spans="1:7" x14ac:dyDescent="0.25">
      <c r="A210" s="2">
        <v>43084</v>
      </c>
      <c r="B210" s="2">
        <v>43084</v>
      </c>
      <c r="C210" t="str">
        <f>"FT17349MH01B|103"</f>
        <v>FT17349MH01B|103</v>
      </c>
      <c r="D210" t="s">
        <v>1323</v>
      </c>
      <c r="F210" s="3">
        <v>50</v>
      </c>
      <c r="G210" s="1">
        <v>220119.6</v>
      </c>
    </row>
    <row r="211" spans="1:7" x14ac:dyDescent="0.25">
      <c r="A211" s="2">
        <v>43084</v>
      </c>
      <c r="B211" s="2">
        <v>43084</v>
      </c>
      <c r="C211" t="str">
        <f>"SE07801712152770|103"</f>
        <v>SE07801712152770|103</v>
      </c>
      <c r="D211" t="s">
        <v>1324</v>
      </c>
      <c r="F211" s="3">
        <v>15319</v>
      </c>
      <c r="G211" s="1">
        <v>235438.6</v>
      </c>
    </row>
    <row r="212" spans="1:7" x14ac:dyDescent="0.25">
      <c r="A212" s="2">
        <v>43084</v>
      </c>
      <c r="B212" s="2">
        <v>43084</v>
      </c>
      <c r="C212" t="str">
        <f>"094FT04173490016|103"</f>
        <v>094FT04173490016|103</v>
      </c>
      <c r="D212" t="s">
        <v>1325</v>
      </c>
      <c r="F212" s="3">
        <v>45000</v>
      </c>
      <c r="G212" s="1">
        <v>280438.59999999998</v>
      </c>
    </row>
    <row r="213" spans="1:7" x14ac:dyDescent="0.25">
      <c r="A213" s="2">
        <v>43084</v>
      </c>
      <c r="B213" s="2">
        <v>43084</v>
      </c>
      <c r="C213" t="str">
        <f>"SE07801712152690|103"</f>
        <v>SE07801712152690|103</v>
      </c>
      <c r="D213" t="s">
        <v>1326</v>
      </c>
      <c r="F213" s="3">
        <v>4024</v>
      </c>
      <c r="G213" s="1">
        <v>284462.59999999998</v>
      </c>
    </row>
    <row r="214" spans="1:7" x14ac:dyDescent="0.25">
      <c r="A214" s="2">
        <v>43084</v>
      </c>
      <c r="B214" s="2">
        <v>43084</v>
      </c>
      <c r="C214" t="str">
        <f>"0001209915121714500587890"</f>
        <v>0001209915121714500587890</v>
      </c>
      <c r="D214" t="s">
        <v>1327</v>
      </c>
      <c r="E214" s="3">
        <v>7199.99</v>
      </c>
      <c r="G214" s="1">
        <v>277262.61</v>
      </c>
    </row>
    <row r="215" spans="1:7" x14ac:dyDescent="0.25">
      <c r="A215" s="2">
        <v>43084</v>
      </c>
      <c r="B215" s="2">
        <v>43084</v>
      </c>
      <c r="C215" t="str">
        <f>"0001209915121714500587890"</f>
        <v>0001209915121714500587890</v>
      </c>
      <c r="D215" t="s">
        <v>248</v>
      </c>
      <c r="E215" s="3">
        <v>14.53</v>
      </c>
      <c r="G215" s="1">
        <v>277248.08</v>
      </c>
    </row>
    <row r="216" spans="1:7" x14ac:dyDescent="0.25">
      <c r="A216" s="2">
        <v>43084</v>
      </c>
      <c r="B216" s="2">
        <v>43084</v>
      </c>
      <c r="C216" t="str">
        <f>"0001209915121714500587890"</f>
        <v>0001209915121714500587890</v>
      </c>
      <c r="D216" t="s">
        <v>249</v>
      </c>
      <c r="E216" s="3">
        <v>1.45</v>
      </c>
      <c r="G216" s="1">
        <v>277246.63</v>
      </c>
    </row>
    <row r="217" spans="1:7" x14ac:dyDescent="0.25">
      <c r="A217" s="2">
        <v>43084</v>
      </c>
      <c r="B217" s="2">
        <v>43084</v>
      </c>
      <c r="C217" t="str">
        <f>"0001200215121716090094252"</f>
        <v>0001200215121716090094252</v>
      </c>
      <c r="D217" t="s">
        <v>110</v>
      </c>
      <c r="F217" s="3">
        <v>150</v>
      </c>
      <c r="G217" s="1">
        <v>283171.63</v>
      </c>
    </row>
    <row r="218" spans="1:7" x14ac:dyDescent="0.25">
      <c r="A218" s="2">
        <v>43084</v>
      </c>
      <c r="B218" s="2">
        <v>43084</v>
      </c>
      <c r="C218" t="str">
        <f>"0001200215121716090094254"</f>
        <v>0001200215121716090094254</v>
      </c>
      <c r="D218" t="s">
        <v>110</v>
      </c>
      <c r="F218" s="3">
        <v>150</v>
      </c>
      <c r="G218" s="1">
        <v>283321.63</v>
      </c>
    </row>
    <row r="219" spans="1:7" x14ac:dyDescent="0.25">
      <c r="A219" s="2">
        <v>43084</v>
      </c>
      <c r="B219" s="2">
        <v>43084</v>
      </c>
      <c r="C219" t="str">
        <f>"0001200215121716100094257"</f>
        <v>0001200215121716100094257</v>
      </c>
      <c r="D219" t="s">
        <v>110</v>
      </c>
      <c r="F219" s="3">
        <v>254</v>
      </c>
      <c r="G219" s="1">
        <v>283575.63</v>
      </c>
    </row>
    <row r="220" spans="1:7" x14ac:dyDescent="0.25">
      <c r="A220" s="2">
        <v>43084</v>
      </c>
      <c r="B220" s="2">
        <v>43084</v>
      </c>
      <c r="C220" t="str">
        <f>"0001200215121716100094259"</f>
        <v>0001200215121716100094259</v>
      </c>
      <c r="D220" t="s">
        <v>110</v>
      </c>
      <c r="F220" s="3">
        <v>270</v>
      </c>
      <c r="G220" s="1">
        <v>283845.63</v>
      </c>
    </row>
    <row r="221" spans="1:7" x14ac:dyDescent="0.25">
      <c r="A221" s="2">
        <v>43084</v>
      </c>
      <c r="B221" s="2">
        <v>43084</v>
      </c>
      <c r="C221" t="str">
        <f>"0001200215121716100094260"</f>
        <v>0001200215121716100094260</v>
      </c>
      <c r="D221" t="s">
        <v>110</v>
      </c>
      <c r="F221" s="3">
        <v>237</v>
      </c>
      <c r="G221" s="1">
        <v>284082.63</v>
      </c>
    </row>
    <row r="222" spans="1:7" x14ac:dyDescent="0.25">
      <c r="A222" s="2">
        <v>43084</v>
      </c>
      <c r="B222" s="2">
        <v>43084</v>
      </c>
      <c r="C222" t="str">
        <f>"0001200215121716110094261"</f>
        <v>0001200215121716110094261</v>
      </c>
      <c r="D222" t="s">
        <v>110</v>
      </c>
      <c r="F222" s="3">
        <v>310</v>
      </c>
      <c r="G222" s="1">
        <v>284392.63</v>
      </c>
    </row>
    <row r="223" spans="1:7" x14ac:dyDescent="0.25">
      <c r="A223" s="2">
        <v>43084</v>
      </c>
      <c r="B223" s="2">
        <v>43084</v>
      </c>
      <c r="C223" t="str">
        <f>"0001200215121716110094263"</f>
        <v>0001200215121716110094263</v>
      </c>
      <c r="D223" t="s">
        <v>110</v>
      </c>
      <c r="F223" s="3">
        <v>130</v>
      </c>
      <c r="G223" s="1">
        <v>284522.63</v>
      </c>
    </row>
    <row r="224" spans="1:7" x14ac:dyDescent="0.25">
      <c r="A224" s="2">
        <v>43084</v>
      </c>
      <c r="B224" s="2">
        <v>43084</v>
      </c>
      <c r="C224" t="str">
        <f>"0001200215121716120094264"</f>
        <v>0001200215121716120094264</v>
      </c>
      <c r="D224" t="s">
        <v>110</v>
      </c>
      <c r="F224" s="3">
        <v>760</v>
      </c>
      <c r="G224" s="1">
        <v>285282.63</v>
      </c>
    </row>
    <row r="225" spans="1:7" x14ac:dyDescent="0.25">
      <c r="A225" s="2">
        <v>43084</v>
      </c>
      <c r="B225" s="2">
        <v>43084</v>
      </c>
      <c r="C225" t="str">
        <f>"3734904201|103"</f>
        <v>3734904201|103</v>
      </c>
      <c r="D225" t="s">
        <v>1328</v>
      </c>
      <c r="F225" s="3">
        <v>855</v>
      </c>
      <c r="G225" s="1">
        <v>286137.63</v>
      </c>
    </row>
    <row r="226" spans="1:7" x14ac:dyDescent="0.25">
      <c r="A226" s="2">
        <v>43084</v>
      </c>
      <c r="B226" s="2">
        <v>43084</v>
      </c>
      <c r="C226" t="str">
        <f>"3734904202|103"</f>
        <v>3734904202|103</v>
      </c>
      <c r="D226" t="s">
        <v>1329</v>
      </c>
      <c r="F226" s="3">
        <v>1613</v>
      </c>
      <c r="G226" s="1">
        <v>287750.63</v>
      </c>
    </row>
    <row r="227" spans="1:7" x14ac:dyDescent="0.25">
      <c r="A227" s="2">
        <v>43084</v>
      </c>
      <c r="B227" s="2">
        <v>43084</v>
      </c>
      <c r="C227" t="str">
        <f>"3734904204|103"</f>
        <v>3734904204|103</v>
      </c>
      <c r="D227" t="s">
        <v>1330</v>
      </c>
      <c r="F227" s="3">
        <v>2517</v>
      </c>
      <c r="G227" s="1">
        <v>290267.63</v>
      </c>
    </row>
    <row r="228" spans="1:7" x14ac:dyDescent="0.25">
      <c r="A228" s="2">
        <v>43084</v>
      </c>
      <c r="B228" s="2">
        <v>43084</v>
      </c>
      <c r="C228" t="str">
        <f>"00000000"</f>
        <v>00000000</v>
      </c>
      <c r="D228" t="s">
        <v>1331</v>
      </c>
      <c r="E228" s="3">
        <v>1</v>
      </c>
      <c r="G228" s="1">
        <v>290266.63</v>
      </c>
    </row>
    <row r="229" spans="1:7" x14ac:dyDescent="0.25">
      <c r="A229" s="2">
        <v>43084</v>
      </c>
      <c r="B229" s="2">
        <v>43084</v>
      </c>
      <c r="C229" t="str">
        <f>"00000000"</f>
        <v>00000000</v>
      </c>
      <c r="D229" t="s">
        <v>1331</v>
      </c>
      <c r="E229" s="3">
        <v>10</v>
      </c>
      <c r="G229" s="1">
        <v>290256.63</v>
      </c>
    </row>
    <row r="230" spans="1:7" x14ac:dyDescent="0.25">
      <c r="A230" s="2">
        <v>43084</v>
      </c>
      <c r="B230" s="2">
        <v>43084</v>
      </c>
      <c r="C230" t="str">
        <f>"00000000"</f>
        <v>00000000</v>
      </c>
      <c r="D230" t="s">
        <v>1331</v>
      </c>
      <c r="F230" s="3">
        <v>6825</v>
      </c>
      <c r="G230" s="1">
        <v>297081.63</v>
      </c>
    </row>
    <row r="231" spans="1:7" x14ac:dyDescent="0.25">
      <c r="A231" s="2">
        <v>43085</v>
      </c>
      <c r="B231" s="2">
        <v>43085</v>
      </c>
      <c r="C231" t="str">
        <f>"0001203916121707080206142"</f>
        <v>0001203916121707080206142</v>
      </c>
      <c r="D231" t="s">
        <v>1332</v>
      </c>
      <c r="F231" s="3">
        <v>16</v>
      </c>
      <c r="G231" s="1">
        <v>297097.63</v>
      </c>
    </row>
    <row r="232" spans="1:7" x14ac:dyDescent="0.25">
      <c r="A232" s="2">
        <v>43087</v>
      </c>
      <c r="B232" s="2">
        <v>43087</v>
      </c>
      <c r="C232" t="str">
        <f>"0001200207121715510088256"</f>
        <v>0001200207121715510088256</v>
      </c>
      <c r="D232" t="s">
        <v>1333</v>
      </c>
      <c r="F232" s="3">
        <v>133</v>
      </c>
      <c r="G232" s="1">
        <v>482293.23</v>
      </c>
    </row>
    <row r="233" spans="1:7" x14ac:dyDescent="0.25">
      <c r="A233" s="2">
        <v>43087</v>
      </c>
      <c r="B233" s="2">
        <v>43087</v>
      </c>
      <c r="C233" t="str">
        <f>"0001200207121715530088265"</f>
        <v>0001200207121715530088265</v>
      </c>
      <c r="D233" t="s">
        <v>1334</v>
      </c>
      <c r="F233" s="3">
        <v>10941</v>
      </c>
      <c r="G233" s="1">
        <v>493234.23</v>
      </c>
    </row>
    <row r="234" spans="1:7" x14ac:dyDescent="0.25">
      <c r="A234" s="2">
        <v>43087</v>
      </c>
      <c r="B234" s="2">
        <v>43087</v>
      </c>
      <c r="C234" t="str">
        <f>"0001200207121715540088269"</f>
        <v>0001200207121715540088269</v>
      </c>
      <c r="D234" t="s">
        <v>1335</v>
      </c>
      <c r="F234" s="3">
        <v>9084</v>
      </c>
      <c r="G234" s="1">
        <v>502318.23</v>
      </c>
    </row>
    <row r="235" spans="1:7" x14ac:dyDescent="0.25">
      <c r="A235" s="2">
        <v>43087</v>
      </c>
      <c r="B235" s="2">
        <v>43087</v>
      </c>
      <c r="C235" t="str">
        <f>"0001200207121715550088271"</f>
        <v>0001200207121715550088271</v>
      </c>
      <c r="D235" t="s">
        <v>1336</v>
      </c>
      <c r="F235" s="3">
        <v>10519</v>
      </c>
      <c r="G235" s="1">
        <v>512837.23</v>
      </c>
    </row>
    <row r="236" spans="1:7" x14ac:dyDescent="0.25">
      <c r="A236" s="2">
        <v>43087</v>
      </c>
      <c r="B236" s="2">
        <v>43087</v>
      </c>
      <c r="C236" t="str">
        <f>"3735200538|103"</f>
        <v>3735200538|103</v>
      </c>
      <c r="D236" t="s">
        <v>1337</v>
      </c>
      <c r="F236" s="3">
        <v>3000</v>
      </c>
      <c r="G236" s="1">
        <v>300097.63</v>
      </c>
    </row>
    <row r="237" spans="1:7" x14ac:dyDescent="0.25">
      <c r="A237" s="2">
        <v>43087</v>
      </c>
      <c r="B237" s="2">
        <v>43087</v>
      </c>
      <c r="C237" t="str">
        <f>"6896700349FC|103"</f>
        <v>6896700349FC|103</v>
      </c>
      <c r="D237" t="s">
        <v>1338</v>
      </c>
      <c r="E237" s="3">
        <v>10</v>
      </c>
      <c r="G237" s="1">
        <v>300087.63</v>
      </c>
    </row>
    <row r="238" spans="1:7" x14ac:dyDescent="0.25">
      <c r="A238" s="2">
        <v>43087</v>
      </c>
      <c r="B238" s="2">
        <v>43087</v>
      </c>
      <c r="C238" t="str">
        <f>"6895800349FC|103"</f>
        <v>6895800349FC|103</v>
      </c>
      <c r="D238" t="s">
        <v>1339</v>
      </c>
      <c r="E238" s="3">
        <v>5.23</v>
      </c>
      <c r="G238" s="1">
        <v>300082.40000000002</v>
      </c>
    </row>
    <row r="239" spans="1:7" x14ac:dyDescent="0.25">
      <c r="A239" s="2">
        <v>43087</v>
      </c>
      <c r="B239" s="2">
        <v>43087</v>
      </c>
      <c r="C239" t="str">
        <f>"7237300349FC|103"</f>
        <v>7237300349FC|103</v>
      </c>
      <c r="D239" t="s">
        <v>1340</v>
      </c>
      <c r="E239" s="3">
        <v>10</v>
      </c>
      <c r="G239" s="1">
        <v>300072.40000000002</v>
      </c>
    </row>
    <row r="240" spans="1:7" x14ac:dyDescent="0.25">
      <c r="A240" s="2">
        <v>43087</v>
      </c>
      <c r="B240" s="2">
        <v>43087</v>
      </c>
      <c r="C240" t="str">
        <f>"7231000349FC|103"</f>
        <v>7231000349FC|103</v>
      </c>
      <c r="D240" t="s">
        <v>1341</v>
      </c>
      <c r="E240" s="3">
        <v>10</v>
      </c>
      <c r="G240" s="1">
        <v>300062.40000000002</v>
      </c>
    </row>
    <row r="241" spans="1:7" x14ac:dyDescent="0.25">
      <c r="A241" s="2">
        <v>43087</v>
      </c>
      <c r="B241" s="2">
        <v>43087</v>
      </c>
      <c r="C241" t="str">
        <f>"6895800349FC|103"</f>
        <v>6895800349FC|103</v>
      </c>
      <c r="D241" t="s">
        <v>1342</v>
      </c>
      <c r="F241" s="3">
        <v>523</v>
      </c>
      <c r="G241" s="1">
        <v>300585.40000000002</v>
      </c>
    </row>
    <row r="242" spans="1:7" x14ac:dyDescent="0.25">
      <c r="A242" s="2">
        <v>43087</v>
      </c>
      <c r="B242" s="2">
        <v>43087</v>
      </c>
      <c r="C242" t="str">
        <f>"6896700349FC|103"</f>
        <v>6896700349FC|103</v>
      </c>
      <c r="D242" t="s">
        <v>1343</v>
      </c>
      <c r="F242" s="3">
        <v>4942</v>
      </c>
      <c r="G242" s="1">
        <v>305527.40000000002</v>
      </c>
    </row>
    <row r="243" spans="1:7" x14ac:dyDescent="0.25">
      <c r="A243" s="2">
        <v>43087</v>
      </c>
      <c r="B243" s="2">
        <v>43087</v>
      </c>
      <c r="C243" t="str">
        <f>"3734900679|103"</f>
        <v>3734900679|103</v>
      </c>
      <c r="D243" t="s">
        <v>1344</v>
      </c>
      <c r="F243" s="3">
        <v>1425</v>
      </c>
      <c r="G243" s="1">
        <v>306952.40000000002</v>
      </c>
    </row>
    <row r="244" spans="1:7" x14ac:dyDescent="0.25">
      <c r="A244" s="2">
        <v>43087</v>
      </c>
      <c r="B244" s="2">
        <v>43087</v>
      </c>
      <c r="C244" t="str">
        <f>"S0673490169701|103"</f>
        <v>S0673490169701|103</v>
      </c>
      <c r="D244" t="s">
        <v>1345</v>
      </c>
      <c r="F244" s="3">
        <v>318</v>
      </c>
      <c r="G244" s="1">
        <v>307270.40000000002</v>
      </c>
    </row>
    <row r="245" spans="1:7" x14ac:dyDescent="0.25">
      <c r="A245" s="2">
        <v>43087</v>
      </c>
      <c r="B245" s="2">
        <v>43087</v>
      </c>
      <c r="C245" t="str">
        <f>"7237300349FC|103"</f>
        <v>7237300349FC|103</v>
      </c>
      <c r="D245" t="s">
        <v>1346</v>
      </c>
      <c r="F245" s="3">
        <v>14458</v>
      </c>
      <c r="G245" s="1">
        <v>321728.40000000002</v>
      </c>
    </row>
    <row r="246" spans="1:7" x14ac:dyDescent="0.25">
      <c r="A246" s="2">
        <v>43087</v>
      </c>
      <c r="B246" s="2">
        <v>43087</v>
      </c>
      <c r="C246" t="str">
        <f>"7231000349FC|103"</f>
        <v>7231000349FC|103</v>
      </c>
      <c r="D246" t="s">
        <v>1347</v>
      </c>
      <c r="F246" s="3">
        <v>11655</v>
      </c>
      <c r="G246" s="1">
        <v>333383.40000000002</v>
      </c>
    </row>
    <row r="247" spans="1:7" x14ac:dyDescent="0.25">
      <c r="A247" s="2">
        <v>43087</v>
      </c>
      <c r="B247" s="2">
        <v>43087</v>
      </c>
      <c r="C247" t="str">
        <f>"3735201062|103"</f>
        <v>3735201062|103</v>
      </c>
      <c r="D247" t="s">
        <v>1348</v>
      </c>
      <c r="F247" s="3">
        <v>170065.9</v>
      </c>
      <c r="G247" s="1">
        <v>503449.3</v>
      </c>
    </row>
    <row r="248" spans="1:7" x14ac:dyDescent="0.25">
      <c r="A248" s="2">
        <v>43087</v>
      </c>
      <c r="B248" s="2">
        <v>43087</v>
      </c>
      <c r="C248" t="str">
        <f>"3735201844|103"</f>
        <v>3735201844|103</v>
      </c>
      <c r="D248" t="s">
        <v>1349</v>
      </c>
      <c r="F248" s="3">
        <v>6385</v>
      </c>
      <c r="G248" s="1">
        <v>509834.3</v>
      </c>
    </row>
    <row r="249" spans="1:7" x14ac:dyDescent="0.25">
      <c r="A249" s="2">
        <v>43087</v>
      </c>
      <c r="B249" s="2">
        <v>43087</v>
      </c>
      <c r="C249" t="str">
        <f>"3735201872|103"</f>
        <v>3735201872|103</v>
      </c>
      <c r="D249" t="s">
        <v>1350</v>
      </c>
      <c r="F249" s="3">
        <v>7123</v>
      </c>
      <c r="G249" s="1">
        <v>516957.3</v>
      </c>
    </row>
    <row r="250" spans="1:7" x14ac:dyDescent="0.25">
      <c r="A250" s="2">
        <v>43087</v>
      </c>
      <c r="B250" s="2">
        <v>43087</v>
      </c>
      <c r="C250" t="str">
        <f>"0001200218121713430095385"</f>
        <v>0001200218121713430095385</v>
      </c>
      <c r="D250" t="s">
        <v>211</v>
      </c>
      <c r="E250" s="3">
        <v>4400</v>
      </c>
      <c r="G250" s="1">
        <v>512557.3</v>
      </c>
    </row>
    <row r="251" spans="1:7" x14ac:dyDescent="0.25">
      <c r="A251" s="2">
        <v>43087</v>
      </c>
      <c r="B251" s="2">
        <v>43087</v>
      </c>
      <c r="C251" t="str">
        <f>"4265300352FC|103"</f>
        <v>4265300352FC|103</v>
      </c>
      <c r="D251" t="s">
        <v>1351</v>
      </c>
      <c r="E251" s="3">
        <v>10</v>
      </c>
      <c r="G251" s="1">
        <v>512547.3</v>
      </c>
    </row>
    <row r="252" spans="1:7" x14ac:dyDescent="0.25">
      <c r="A252" s="2">
        <v>43087</v>
      </c>
      <c r="B252" s="2">
        <v>43087</v>
      </c>
      <c r="C252" t="str">
        <f>"SE07801712182670|103"</f>
        <v>SE07801712182670|103</v>
      </c>
      <c r="D252" t="s">
        <v>1352</v>
      </c>
      <c r="F252" s="3">
        <v>13189</v>
      </c>
      <c r="G252" s="1">
        <v>525736.30000000005</v>
      </c>
    </row>
    <row r="253" spans="1:7" x14ac:dyDescent="0.25">
      <c r="A253" s="2">
        <v>43087</v>
      </c>
      <c r="B253" s="2">
        <v>43087</v>
      </c>
      <c r="C253" t="str">
        <f>"SE07801712182666|103"</f>
        <v>SE07801712182666|103</v>
      </c>
      <c r="D253" t="s">
        <v>1353</v>
      </c>
      <c r="F253" s="3">
        <v>6650</v>
      </c>
      <c r="G253" s="1">
        <v>532386.30000000005</v>
      </c>
    </row>
    <row r="254" spans="1:7" x14ac:dyDescent="0.25">
      <c r="A254" s="2">
        <v>43087</v>
      </c>
      <c r="B254" s="2">
        <v>43087</v>
      </c>
      <c r="C254" t="str">
        <f>"4265300352FC|103"</f>
        <v>4265300352FC|103</v>
      </c>
      <c r="D254" t="s">
        <v>1354</v>
      </c>
      <c r="F254" s="3">
        <v>1293</v>
      </c>
      <c r="G254" s="1">
        <v>533679.30000000005</v>
      </c>
    </row>
    <row r="255" spans="1:7" x14ac:dyDescent="0.25">
      <c r="A255" s="2">
        <v>43087</v>
      </c>
      <c r="B255" s="2">
        <v>43087</v>
      </c>
      <c r="C255" t="str">
        <f>"0001200218121715530095656"</f>
        <v>0001200218121715530095656</v>
      </c>
      <c r="D255" t="s">
        <v>110</v>
      </c>
      <c r="F255" s="3">
        <v>260</v>
      </c>
      <c r="G255" s="1">
        <v>533939.30000000005</v>
      </c>
    </row>
    <row r="256" spans="1:7" x14ac:dyDescent="0.25">
      <c r="A256" s="2">
        <v>43087</v>
      </c>
      <c r="B256" s="2">
        <v>43087</v>
      </c>
      <c r="C256" t="str">
        <f>"0001200218121715540095658"</f>
        <v>0001200218121715540095658</v>
      </c>
      <c r="D256" t="s">
        <v>110</v>
      </c>
      <c r="F256" s="3">
        <v>128</v>
      </c>
      <c r="G256" s="1">
        <v>534067.30000000005</v>
      </c>
    </row>
    <row r="257" spans="1:7" x14ac:dyDescent="0.25">
      <c r="A257" s="2">
        <v>43087</v>
      </c>
      <c r="B257" s="2">
        <v>43087</v>
      </c>
      <c r="C257" t="str">
        <f>"FT17352F0L8S|103"</f>
        <v>FT17352F0L8S|103</v>
      </c>
      <c r="D257" t="s">
        <v>1355</v>
      </c>
      <c r="F257" s="3">
        <v>900</v>
      </c>
      <c r="G257" s="1">
        <v>534967.30000000005</v>
      </c>
    </row>
    <row r="258" spans="1:7" x14ac:dyDescent="0.25">
      <c r="A258" s="2">
        <v>43088</v>
      </c>
      <c r="B258" s="2">
        <v>43088</v>
      </c>
      <c r="C258" t="str">
        <f>"8110700352FC|103"</f>
        <v>8110700352FC|103</v>
      </c>
      <c r="D258" t="s">
        <v>1356</v>
      </c>
      <c r="E258" s="3">
        <v>4</v>
      </c>
      <c r="G258" s="1">
        <v>534963.30000000005</v>
      </c>
    </row>
    <row r="259" spans="1:7" x14ac:dyDescent="0.25">
      <c r="A259" s="2">
        <v>43088</v>
      </c>
      <c r="B259" s="2">
        <v>43088</v>
      </c>
      <c r="C259" t="str">
        <f>"7956700352FC|103"</f>
        <v>7956700352FC|103</v>
      </c>
      <c r="D259" t="s">
        <v>1357</v>
      </c>
      <c r="E259" s="3">
        <v>10</v>
      </c>
      <c r="G259" s="1">
        <v>534953.30000000005</v>
      </c>
    </row>
    <row r="260" spans="1:7" x14ac:dyDescent="0.25">
      <c r="A260" s="2">
        <v>43088</v>
      </c>
      <c r="B260" s="2">
        <v>43088</v>
      </c>
      <c r="C260" t="str">
        <f>"6859000352FC|103"</f>
        <v>6859000352FC|103</v>
      </c>
      <c r="D260" t="s">
        <v>1358</v>
      </c>
      <c r="E260" s="3">
        <v>4.78</v>
      </c>
      <c r="G260" s="1">
        <v>534948.52</v>
      </c>
    </row>
    <row r="261" spans="1:7" x14ac:dyDescent="0.25">
      <c r="A261" s="2">
        <v>43088</v>
      </c>
      <c r="B261" s="2">
        <v>43088</v>
      </c>
      <c r="C261" t="str">
        <f>"7955300352FC|103"</f>
        <v>7955300352FC|103</v>
      </c>
      <c r="D261" t="s">
        <v>1359</v>
      </c>
      <c r="E261" s="3">
        <v>10</v>
      </c>
      <c r="G261" s="1">
        <v>534938.52</v>
      </c>
    </row>
    <row r="262" spans="1:7" x14ac:dyDescent="0.25">
      <c r="A262" s="2">
        <v>43088</v>
      </c>
      <c r="B262" s="2">
        <v>43088</v>
      </c>
      <c r="C262" t="str">
        <f>"4261200352FC|103"</f>
        <v>4261200352FC|103</v>
      </c>
      <c r="D262" t="s">
        <v>1360</v>
      </c>
      <c r="E262" s="3">
        <v>8.4600000000000009</v>
      </c>
      <c r="G262" s="1">
        <v>534930.06000000006</v>
      </c>
    </row>
    <row r="263" spans="1:7" x14ac:dyDescent="0.25">
      <c r="A263" s="2">
        <v>43088</v>
      </c>
      <c r="B263" s="2">
        <v>43088</v>
      </c>
      <c r="C263" t="str">
        <f>"7954700352FC|103"</f>
        <v>7954700352FC|103</v>
      </c>
      <c r="D263" t="s">
        <v>1361</v>
      </c>
      <c r="E263" s="3">
        <v>10</v>
      </c>
      <c r="G263" s="1">
        <v>534920.06000000006</v>
      </c>
    </row>
    <row r="264" spans="1:7" x14ac:dyDescent="0.25">
      <c r="A264" s="2">
        <v>43088</v>
      </c>
      <c r="B264" s="2">
        <v>43088</v>
      </c>
      <c r="C264" t="str">
        <f>"4273300352FC|103"</f>
        <v>4273300352FC|103</v>
      </c>
      <c r="D264" t="s">
        <v>1362</v>
      </c>
      <c r="E264" s="3">
        <v>4</v>
      </c>
      <c r="G264" s="1">
        <v>534916.06000000006</v>
      </c>
    </row>
    <row r="265" spans="1:7" x14ac:dyDescent="0.25">
      <c r="A265" s="2">
        <v>43088</v>
      </c>
      <c r="B265" s="2">
        <v>43088</v>
      </c>
      <c r="C265" t="str">
        <f>"7956100352FC|103"</f>
        <v>7956100352FC|103</v>
      </c>
      <c r="D265" t="s">
        <v>1363</v>
      </c>
      <c r="E265" s="3">
        <v>4</v>
      </c>
      <c r="G265" s="1">
        <v>534912.06000000006</v>
      </c>
    </row>
    <row r="266" spans="1:7" x14ac:dyDescent="0.25">
      <c r="A266" s="2">
        <v>43088</v>
      </c>
      <c r="B266" s="2">
        <v>43088</v>
      </c>
      <c r="C266" t="str">
        <f>"4279100352FC|103"</f>
        <v>4279100352FC|103</v>
      </c>
      <c r="D266" t="s">
        <v>1364</v>
      </c>
      <c r="E266" s="3">
        <v>10</v>
      </c>
      <c r="G266" s="1">
        <v>534902.06000000006</v>
      </c>
    </row>
    <row r="267" spans="1:7" x14ac:dyDescent="0.25">
      <c r="A267" s="2">
        <v>43088</v>
      </c>
      <c r="B267" s="2">
        <v>43088</v>
      </c>
      <c r="C267" t="str">
        <f>"4279100352FC|103"</f>
        <v>4279100352FC|103</v>
      </c>
      <c r="D267" t="s">
        <v>1365</v>
      </c>
      <c r="F267" s="3">
        <v>6467</v>
      </c>
      <c r="G267" s="1">
        <v>541369.06000000006</v>
      </c>
    </row>
    <row r="268" spans="1:7" x14ac:dyDescent="0.25">
      <c r="A268" s="2">
        <v>43088</v>
      </c>
      <c r="B268" s="2">
        <v>43088</v>
      </c>
      <c r="C268" t="str">
        <f>"7956100352FC|103"</f>
        <v>7956100352FC|103</v>
      </c>
      <c r="D268" t="s">
        <v>1366</v>
      </c>
      <c r="F268" s="3">
        <v>335</v>
      </c>
      <c r="G268" s="1">
        <v>541704.06000000006</v>
      </c>
    </row>
    <row r="269" spans="1:7" x14ac:dyDescent="0.25">
      <c r="A269" s="2">
        <v>43088</v>
      </c>
      <c r="B269" s="2">
        <v>43088</v>
      </c>
      <c r="C269" t="str">
        <f>"4273300352FC|103"</f>
        <v>4273300352FC|103</v>
      </c>
      <c r="D269" t="s">
        <v>1367</v>
      </c>
      <c r="F269" s="3">
        <v>155</v>
      </c>
      <c r="G269" s="1">
        <v>541859.06000000006</v>
      </c>
    </row>
    <row r="270" spans="1:7" x14ac:dyDescent="0.25">
      <c r="A270" s="2">
        <v>43088</v>
      </c>
      <c r="B270" s="2">
        <v>43088</v>
      </c>
      <c r="C270" t="str">
        <f>"F3S1712148166800|103"</f>
        <v>F3S1712148166800|103</v>
      </c>
      <c r="D270" t="s">
        <v>1368</v>
      </c>
      <c r="F270" s="3">
        <v>6900</v>
      </c>
      <c r="G270" s="1">
        <v>548759.06000000006</v>
      </c>
    </row>
    <row r="271" spans="1:7" x14ac:dyDescent="0.25">
      <c r="A271" s="2">
        <v>43088</v>
      </c>
      <c r="B271" s="2">
        <v>43088</v>
      </c>
      <c r="C271" t="str">
        <f>"7954700352FC|103"</f>
        <v>7954700352FC|103</v>
      </c>
      <c r="D271" t="s">
        <v>1369</v>
      </c>
      <c r="F271" s="3">
        <v>7423</v>
      </c>
      <c r="G271" s="1">
        <v>556182.06000000006</v>
      </c>
    </row>
    <row r="272" spans="1:7" x14ac:dyDescent="0.25">
      <c r="A272" s="2">
        <v>43088</v>
      </c>
      <c r="B272" s="2">
        <v>43088</v>
      </c>
      <c r="C272" t="str">
        <f>"4261200352FC|103"</f>
        <v>4261200352FC|103</v>
      </c>
      <c r="D272" t="s">
        <v>1370</v>
      </c>
      <c r="F272" s="3">
        <v>846</v>
      </c>
      <c r="G272" s="1">
        <v>557028.06000000006</v>
      </c>
    </row>
    <row r="273" spans="1:7" x14ac:dyDescent="0.25">
      <c r="A273" s="2">
        <v>43088</v>
      </c>
      <c r="B273" s="2">
        <v>43088</v>
      </c>
      <c r="C273" t="str">
        <f>"7955300352FC|103"</f>
        <v>7955300352FC|103</v>
      </c>
      <c r="D273" t="s">
        <v>1371</v>
      </c>
      <c r="F273" s="3">
        <v>5111</v>
      </c>
      <c r="G273" s="1">
        <v>562139.06000000006</v>
      </c>
    </row>
    <row r="274" spans="1:7" x14ac:dyDescent="0.25">
      <c r="A274" s="2">
        <v>43088</v>
      </c>
      <c r="B274" s="2">
        <v>43088</v>
      </c>
      <c r="C274" t="str">
        <f>"6859000352FC|103"</f>
        <v>6859000352FC|103</v>
      </c>
      <c r="D274" t="s">
        <v>1372</v>
      </c>
      <c r="F274" s="3">
        <v>478</v>
      </c>
      <c r="G274" s="1">
        <v>562617.06000000006</v>
      </c>
    </row>
    <row r="275" spans="1:7" x14ac:dyDescent="0.25">
      <c r="A275" s="2">
        <v>43088</v>
      </c>
      <c r="B275" s="2">
        <v>43088</v>
      </c>
      <c r="C275" t="str">
        <f>"7956700352FC|103"</f>
        <v>7956700352FC|103</v>
      </c>
      <c r="D275" t="s">
        <v>1373</v>
      </c>
      <c r="F275" s="3">
        <v>1288</v>
      </c>
      <c r="G275" s="1">
        <v>563905.06000000006</v>
      </c>
    </row>
    <row r="276" spans="1:7" x14ac:dyDescent="0.25">
      <c r="A276" s="2">
        <v>43088</v>
      </c>
      <c r="B276" s="2">
        <v>43088</v>
      </c>
      <c r="C276" t="str">
        <f>"8110700352FC|103"</f>
        <v>8110700352FC|103</v>
      </c>
      <c r="D276" t="s">
        <v>1374</v>
      </c>
      <c r="F276" s="3">
        <v>15</v>
      </c>
      <c r="G276" s="1">
        <v>563920.06000000006</v>
      </c>
    </row>
    <row r="277" spans="1:7" x14ac:dyDescent="0.25">
      <c r="A277" s="2">
        <v>43088</v>
      </c>
      <c r="B277" s="2">
        <v>43088</v>
      </c>
      <c r="C277" t="str">
        <f>"0001200219121716070096935"</f>
        <v>0001200219121716070096935</v>
      </c>
      <c r="D277" t="s">
        <v>110</v>
      </c>
      <c r="F277" s="3">
        <v>255</v>
      </c>
      <c r="G277" s="1">
        <v>564175.06000000006</v>
      </c>
    </row>
    <row r="278" spans="1:7" x14ac:dyDescent="0.25">
      <c r="A278" s="2">
        <v>43088</v>
      </c>
      <c r="B278" s="2">
        <v>43088</v>
      </c>
      <c r="C278" t="str">
        <f>"SE07801712194274|103"</f>
        <v>SE07801712194274|103</v>
      </c>
      <c r="D278" t="s">
        <v>1375</v>
      </c>
      <c r="F278" s="3">
        <v>18678</v>
      </c>
      <c r="G278" s="1">
        <v>592881.06000000006</v>
      </c>
    </row>
    <row r="279" spans="1:7" x14ac:dyDescent="0.25">
      <c r="A279" s="2">
        <v>43088</v>
      </c>
      <c r="B279" s="2">
        <v>43088</v>
      </c>
      <c r="C279" t="str">
        <f>"013RTGS173530025|103"</f>
        <v>013RTGS173530025|103</v>
      </c>
      <c r="D279" t="s">
        <v>1376</v>
      </c>
      <c r="F279" s="3">
        <v>30</v>
      </c>
      <c r="G279" s="1">
        <v>592911.06000000006</v>
      </c>
    </row>
    <row r="280" spans="1:7" x14ac:dyDescent="0.25">
      <c r="A280" s="2">
        <v>43088</v>
      </c>
      <c r="B280" s="2">
        <v>43088</v>
      </c>
      <c r="C280" t="str">
        <f>"013RTGS173530023|103"</f>
        <v>013RTGS173530023|103</v>
      </c>
      <c r="D280" t="s">
        <v>1377</v>
      </c>
      <c r="F280" s="3">
        <v>42666.1</v>
      </c>
      <c r="G280" s="1">
        <v>635577.16</v>
      </c>
    </row>
    <row r="281" spans="1:7" x14ac:dyDescent="0.25">
      <c r="A281" s="2">
        <v>43088</v>
      </c>
      <c r="B281" s="2">
        <v>43088</v>
      </c>
      <c r="C281" t="str">
        <f>"FT17353YM335|103"</f>
        <v>FT17353YM335|103</v>
      </c>
      <c r="D281" t="s">
        <v>1378</v>
      </c>
      <c r="F281" s="3">
        <v>5142</v>
      </c>
      <c r="G281" s="1">
        <v>640719.16</v>
      </c>
    </row>
    <row r="282" spans="1:7" x14ac:dyDescent="0.25">
      <c r="A282" s="2">
        <v>43088</v>
      </c>
      <c r="B282" s="2">
        <v>43088</v>
      </c>
      <c r="C282" t="str">
        <f>"00000000"</f>
        <v>00000000</v>
      </c>
      <c r="D282" t="s">
        <v>1379</v>
      </c>
      <c r="E282" s="3">
        <v>1</v>
      </c>
      <c r="G282" s="1">
        <v>640718.16</v>
      </c>
    </row>
    <row r="283" spans="1:7" x14ac:dyDescent="0.25">
      <c r="A283" s="2">
        <v>43088</v>
      </c>
      <c r="B283" s="2">
        <v>43088</v>
      </c>
      <c r="C283" t="str">
        <f>"00000000"</f>
        <v>00000000</v>
      </c>
      <c r="D283" t="s">
        <v>1379</v>
      </c>
      <c r="E283" s="3">
        <v>10</v>
      </c>
      <c r="G283" s="1">
        <v>640708.16</v>
      </c>
    </row>
    <row r="284" spans="1:7" x14ac:dyDescent="0.25">
      <c r="A284" s="2">
        <v>43088</v>
      </c>
      <c r="B284" s="2">
        <v>43088</v>
      </c>
      <c r="C284" t="str">
        <f>"00000000"</f>
        <v>00000000</v>
      </c>
      <c r="D284" t="s">
        <v>1379</v>
      </c>
      <c r="F284" s="3">
        <v>2152.64</v>
      </c>
      <c r="G284" s="1">
        <v>642860.80000000005</v>
      </c>
    </row>
    <row r="285" spans="1:7" x14ac:dyDescent="0.25">
      <c r="A285" s="2">
        <v>43089</v>
      </c>
      <c r="B285" s="2">
        <v>43089</v>
      </c>
      <c r="C285" t="str">
        <f>"4813400353FC|103"</f>
        <v>4813400353FC|103</v>
      </c>
      <c r="D285" t="s">
        <v>1380</v>
      </c>
      <c r="E285" s="3">
        <v>10</v>
      </c>
      <c r="G285" s="1">
        <v>642850.80000000005</v>
      </c>
    </row>
    <row r="286" spans="1:7" x14ac:dyDescent="0.25">
      <c r="A286" s="2">
        <v>43089</v>
      </c>
      <c r="B286" s="2">
        <v>43089</v>
      </c>
      <c r="C286" t="str">
        <f>"FT173548Z8WN|103"</f>
        <v>FT173548Z8WN|103</v>
      </c>
      <c r="D286" t="s">
        <v>1381</v>
      </c>
      <c r="F286" s="3">
        <v>3284</v>
      </c>
      <c r="G286" s="1">
        <v>646134.80000000005</v>
      </c>
    </row>
    <row r="287" spans="1:7" x14ac:dyDescent="0.25">
      <c r="A287" s="2">
        <v>43089</v>
      </c>
      <c r="B287" s="2">
        <v>43089</v>
      </c>
      <c r="C287" t="str">
        <f>"4813400353FC|103"</f>
        <v>4813400353FC|103</v>
      </c>
      <c r="D287" t="s">
        <v>1382</v>
      </c>
      <c r="F287" s="3">
        <v>87881</v>
      </c>
      <c r="G287" s="1">
        <v>734015.8</v>
      </c>
    </row>
    <row r="288" spans="1:7" x14ac:dyDescent="0.25">
      <c r="A288" s="2">
        <v>43089</v>
      </c>
      <c r="B288" s="2">
        <v>43089</v>
      </c>
      <c r="C288" t="str">
        <f>"HBKG17L18O511737|103"</f>
        <v>HBKG17L18O511737|103</v>
      </c>
      <c r="D288" t="s">
        <v>1383</v>
      </c>
      <c r="F288" s="3">
        <v>6708</v>
      </c>
      <c r="G288" s="1">
        <v>740723.8</v>
      </c>
    </row>
    <row r="289" spans="1:7" x14ac:dyDescent="0.25">
      <c r="A289" s="2">
        <v>43089</v>
      </c>
      <c r="B289" s="2">
        <v>43089</v>
      </c>
      <c r="C289" t="str">
        <f>"0001209920121712240589282"</f>
        <v>0001209920121712240589282</v>
      </c>
      <c r="D289" t="s">
        <v>1384</v>
      </c>
      <c r="E289" s="3">
        <v>24586</v>
      </c>
      <c r="G289" s="1">
        <v>716137.8</v>
      </c>
    </row>
    <row r="290" spans="1:7" x14ac:dyDescent="0.25">
      <c r="A290" s="2">
        <v>43089</v>
      </c>
      <c r="B290" s="2">
        <v>43089</v>
      </c>
      <c r="C290" t="str">
        <f>"0001209920121712240589282"</f>
        <v>0001209920121712240589282</v>
      </c>
      <c r="D290" t="s">
        <v>248</v>
      </c>
      <c r="E290" s="3">
        <v>14.54</v>
      </c>
      <c r="G290" s="1">
        <v>716123.26</v>
      </c>
    </row>
    <row r="291" spans="1:7" x14ac:dyDescent="0.25">
      <c r="A291" s="2">
        <v>43089</v>
      </c>
      <c r="B291" s="2">
        <v>43089</v>
      </c>
      <c r="C291" t="str">
        <f>"0001209920121712240589282"</f>
        <v>0001209920121712240589282</v>
      </c>
      <c r="D291" t="s">
        <v>249</v>
      </c>
      <c r="E291" s="3">
        <v>1.45</v>
      </c>
      <c r="G291" s="1">
        <v>716121.81</v>
      </c>
    </row>
    <row r="292" spans="1:7" x14ac:dyDescent="0.25">
      <c r="A292" s="2">
        <v>43089</v>
      </c>
      <c r="B292" s="2">
        <v>43089</v>
      </c>
      <c r="C292" t="str">
        <f>"SE07801712203214|103"</f>
        <v>SE07801712203214|103</v>
      </c>
      <c r="D292" t="s">
        <v>1385</v>
      </c>
      <c r="F292" s="3">
        <v>6858</v>
      </c>
      <c r="G292" s="1">
        <v>722979.81</v>
      </c>
    </row>
    <row r="293" spans="1:7" x14ac:dyDescent="0.25">
      <c r="A293" s="2">
        <v>43089</v>
      </c>
      <c r="B293" s="2">
        <v>43089</v>
      </c>
      <c r="C293" t="str">
        <f>"013RTGS173540001|103"</f>
        <v>013RTGS173540001|103</v>
      </c>
      <c r="D293" t="s">
        <v>1386</v>
      </c>
      <c r="F293" s="3">
        <v>1415</v>
      </c>
      <c r="G293" s="1">
        <v>724394.81</v>
      </c>
    </row>
    <row r="294" spans="1:7" x14ac:dyDescent="0.25">
      <c r="A294" s="2">
        <v>43089</v>
      </c>
      <c r="B294" s="2">
        <v>43089</v>
      </c>
      <c r="C294" t="str">
        <f>"0001200320121714440197494"</f>
        <v>0001200320121714440197494</v>
      </c>
      <c r="D294" t="s">
        <v>211</v>
      </c>
      <c r="E294" s="3">
        <v>5928</v>
      </c>
      <c r="G294" s="1">
        <v>718466.81</v>
      </c>
    </row>
    <row r="295" spans="1:7" x14ac:dyDescent="0.25">
      <c r="A295" s="2">
        <v>43089</v>
      </c>
      <c r="B295" s="2">
        <v>43089</v>
      </c>
      <c r="C295" t="str">
        <f>"FT17354V7V43|103"</f>
        <v>FT17354V7V43|103</v>
      </c>
      <c r="D295" t="s">
        <v>1387</v>
      </c>
      <c r="F295" s="3">
        <v>275</v>
      </c>
      <c r="G295" s="1">
        <v>720775.81</v>
      </c>
    </row>
    <row r="296" spans="1:7" x14ac:dyDescent="0.25">
      <c r="A296" s="2">
        <v>43089</v>
      </c>
      <c r="B296" s="2">
        <v>43089</v>
      </c>
      <c r="C296" t="str">
        <f>"00000000"</f>
        <v>00000000</v>
      </c>
      <c r="D296" t="s">
        <v>1388</v>
      </c>
      <c r="E296" s="3">
        <v>10</v>
      </c>
      <c r="G296" s="1">
        <v>720765.81</v>
      </c>
    </row>
    <row r="297" spans="1:7" x14ac:dyDescent="0.25">
      <c r="A297" s="2">
        <v>43089</v>
      </c>
      <c r="B297" s="2">
        <v>43089</v>
      </c>
      <c r="C297" t="str">
        <f>"00000000"</f>
        <v>00000000</v>
      </c>
      <c r="D297" t="s">
        <v>1388</v>
      </c>
      <c r="E297" s="3">
        <v>1</v>
      </c>
      <c r="G297" s="1">
        <v>720764.81</v>
      </c>
    </row>
    <row r="298" spans="1:7" x14ac:dyDescent="0.25">
      <c r="A298" s="2">
        <v>43089</v>
      </c>
      <c r="B298" s="2">
        <v>43089</v>
      </c>
      <c r="C298" t="str">
        <f>"00000000"</f>
        <v>00000000</v>
      </c>
      <c r="D298" t="s">
        <v>1388</v>
      </c>
      <c r="F298" s="3">
        <v>18717</v>
      </c>
      <c r="G298" s="1">
        <v>739481.81</v>
      </c>
    </row>
    <row r="299" spans="1:7" x14ac:dyDescent="0.25">
      <c r="A299" s="2">
        <v>43090</v>
      </c>
      <c r="B299" s="2">
        <v>43090</v>
      </c>
      <c r="C299" t="str">
        <f>"0001200211121715440091367"</f>
        <v>0001200211121715440091367</v>
      </c>
      <c r="D299" t="s">
        <v>1389</v>
      </c>
      <c r="F299" s="3">
        <v>235</v>
      </c>
      <c r="G299" s="1">
        <v>514737.23</v>
      </c>
    </row>
    <row r="300" spans="1:7" x14ac:dyDescent="0.25">
      <c r="A300" s="2">
        <v>43090</v>
      </c>
      <c r="B300" s="2">
        <v>43090</v>
      </c>
      <c r="C300" t="str">
        <f>"0001200211121715450091374"</f>
        <v>0001200211121715450091374</v>
      </c>
      <c r="D300" t="s">
        <v>1390</v>
      </c>
      <c r="F300" s="3">
        <v>8778</v>
      </c>
      <c r="G300" s="1">
        <v>523515.23</v>
      </c>
    </row>
    <row r="301" spans="1:7" x14ac:dyDescent="0.25">
      <c r="A301" s="2">
        <v>43090</v>
      </c>
      <c r="B301" s="2">
        <v>43090</v>
      </c>
      <c r="C301" t="str">
        <f>"0001200211121715470091377"</f>
        <v>0001200211121715470091377</v>
      </c>
      <c r="D301" t="s">
        <v>1391</v>
      </c>
      <c r="F301" s="3">
        <v>645</v>
      </c>
      <c r="G301" s="1">
        <v>524160.23</v>
      </c>
    </row>
    <row r="302" spans="1:7" x14ac:dyDescent="0.25">
      <c r="A302" s="2">
        <v>43090</v>
      </c>
      <c r="B302" s="2">
        <v>43090</v>
      </c>
      <c r="C302" t="str">
        <f>"0001200211121715480091380"</f>
        <v>0001200211121715480091380</v>
      </c>
      <c r="D302" t="s">
        <v>1392</v>
      </c>
      <c r="F302" s="3">
        <v>1677</v>
      </c>
      <c r="G302" s="1">
        <v>525837.23</v>
      </c>
    </row>
    <row r="303" spans="1:7" x14ac:dyDescent="0.25">
      <c r="A303" s="2">
        <v>43090</v>
      </c>
      <c r="B303" s="2">
        <v>43090</v>
      </c>
      <c r="C303" t="str">
        <f>"IR07801712210226|103"</f>
        <v>IR07801712210226|103</v>
      </c>
      <c r="D303" t="s">
        <v>1393</v>
      </c>
      <c r="F303" s="3">
        <v>465</v>
      </c>
      <c r="G303" s="1">
        <v>737916.81</v>
      </c>
    </row>
    <row r="304" spans="1:7" x14ac:dyDescent="0.25">
      <c r="A304" s="2">
        <v>43090</v>
      </c>
      <c r="B304" s="2">
        <v>43090</v>
      </c>
      <c r="C304" t="str">
        <f>"7144900354FC|103"</f>
        <v>7144900354FC|103</v>
      </c>
      <c r="D304" t="s">
        <v>1394</v>
      </c>
      <c r="F304" s="3">
        <v>13031</v>
      </c>
      <c r="G304" s="1">
        <v>750947.81</v>
      </c>
    </row>
    <row r="305" spans="1:7" x14ac:dyDescent="0.25">
      <c r="A305" s="2">
        <v>43090</v>
      </c>
      <c r="B305" s="2">
        <v>43090</v>
      </c>
      <c r="C305" t="str">
        <f>"7144900354FC|103"</f>
        <v>7144900354FC|103</v>
      </c>
      <c r="D305" t="s">
        <v>1395</v>
      </c>
      <c r="E305" s="3">
        <v>10</v>
      </c>
      <c r="G305" s="1">
        <v>750937.81</v>
      </c>
    </row>
    <row r="306" spans="1:7" x14ac:dyDescent="0.25">
      <c r="A306" s="2">
        <v>43090</v>
      </c>
      <c r="B306" s="2">
        <v>43090</v>
      </c>
      <c r="C306" t="str">
        <f>"3735501074|103"</f>
        <v>3735501074|103</v>
      </c>
      <c r="D306" t="s">
        <v>1396</v>
      </c>
      <c r="F306" s="3">
        <v>10490</v>
      </c>
      <c r="G306" s="1">
        <v>761427.81</v>
      </c>
    </row>
    <row r="307" spans="1:7" x14ac:dyDescent="0.25">
      <c r="A307" s="2">
        <v>43090</v>
      </c>
      <c r="B307" s="2">
        <v>43090</v>
      </c>
      <c r="C307" t="str">
        <f>"3241900355FC|103"</f>
        <v>3241900355FC|103</v>
      </c>
      <c r="D307" t="s">
        <v>1397</v>
      </c>
      <c r="F307" s="3">
        <v>353</v>
      </c>
      <c r="G307" s="1">
        <v>761780.81</v>
      </c>
    </row>
    <row r="308" spans="1:7" x14ac:dyDescent="0.25">
      <c r="A308" s="2">
        <v>43090</v>
      </c>
      <c r="B308" s="2">
        <v>43090</v>
      </c>
      <c r="C308" t="str">
        <f>"3241900355FC|103"</f>
        <v>3241900355FC|103</v>
      </c>
      <c r="D308" t="s">
        <v>1398</v>
      </c>
      <c r="E308" s="3">
        <v>4</v>
      </c>
      <c r="G308" s="1">
        <v>761776.81</v>
      </c>
    </row>
    <row r="309" spans="1:7" x14ac:dyDescent="0.25">
      <c r="A309" s="2">
        <v>43090</v>
      </c>
      <c r="B309" s="2">
        <v>43090</v>
      </c>
      <c r="C309" t="str">
        <f>"4714600355FC|103"</f>
        <v>4714600355FC|103</v>
      </c>
      <c r="D309" t="s">
        <v>1399</v>
      </c>
      <c r="F309" s="3">
        <v>10661</v>
      </c>
      <c r="G309" s="1">
        <v>772437.81</v>
      </c>
    </row>
    <row r="310" spans="1:7" x14ac:dyDescent="0.25">
      <c r="A310" s="2">
        <v>43090</v>
      </c>
      <c r="B310" s="2">
        <v>43090</v>
      </c>
      <c r="C310" t="str">
        <f>"4714600355FC|103"</f>
        <v>4714600355FC|103</v>
      </c>
      <c r="D310" t="s">
        <v>1400</v>
      </c>
      <c r="E310" s="3">
        <v>10</v>
      </c>
      <c r="G310" s="1">
        <v>772427.81</v>
      </c>
    </row>
    <row r="311" spans="1:7" x14ac:dyDescent="0.25">
      <c r="A311" s="2">
        <v>43090</v>
      </c>
      <c r="B311" s="2">
        <v>43090</v>
      </c>
      <c r="C311" t="str">
        <f>"036FT04173550002|103"</f>
        <v>036FT04173550002|103</v>
      </c>
      <c r="D311" t="s">
        <v>1401</v>
      </c>
      <c r="F311" s="3">
        <v>5800</v>
      </c>
      <c r="G311" s="1">
        <v>778227.81</v>
      </c>
    </row>
    <row r="312" spans="1:7" x14ac:dyDescent="0.25">
      <c r="A312" s="2">
        <v>43090</v>
      </c>
      <c r="B312" s="2">
        <v>43090</v>
      </c>
      <c r="C312" t="str">
        <f>"FT17355T6225|103"</f>
        <v>FT17355T6225|103</v>
      </c>
      <c r="D312" t="s">
        <v>1402</v>
      </c>
      <c r="F312" s="3">
        <v>3309</v>
      </c>
      <c r="G312" s="1">
        <v>781536.81</v>
      </c>
    </row>
    <row r="313" spans="1:7" x14ac:dyDescent="0.25">
      <c r="A313" s="2">
        <v>43090</v>
      </c>
      <c r="B313" s="2">
        <v>43090</v>
      </c>
      <c r="C313" t="str">
        <f>"0001200221121715560098801"</f>
        <v>0001200221121715560098801</v>
      </c>
      <c r="D313" t="s">
        <v>110</v>
      </c>
      <c r="F313" s="3">
        <v>860</v>
      </c>
      <c r="G313" s="1">
        <v>782396.81</v>
      </c>
    </row>
    <row r="314" spans="1:7" x14ac:dyDescent="0.25">
      <c r="A314" s="2">
        <v>43090</v>
      </c>
      <c r="B314" s="2">
        <v>43090</v>
      </c>
      <c r="C314" t="str">
        <f>"0001200221121715570098803"</f>
        <v>0001200221121715570098803</v>
      </c>
      <c r="D314" t="s">
        <v>110</v>
      </c>
      <c r="F314" s="3">
        <v>1820</v>
      </c>
      <c r="G314" s="1">
        <v>784216.81</v>
      </c>
    </row>
    <row r="315" spans="1:7" x14ac:dyDescent="0.25">
      <c r="A315" s="2">
        <v>43090</v>
      </c>
      <c r="B315" s="2">
        <v>43090</v>
      </c>
      <c r="C315" t="str">
        <f>"0001200221121715570098805"</f>
        <v>0001200221121715570098805</v>
      </c>
      <c r="D315" t="s">
        <v>110</v>
      </c>
      <c r="F315" s="3">
        <v>1055</v>
      </c>
      <c r="G315" s="1">
        <v>785271.81</v>
      </c>
    </row>
    <row r="316" spans="1:7" x14ac:dyDescent="0.25">
      <c r="A316" s="2">
        <v>43090</v>
      </c>
      <c r="B316" s="2">
        <v>43090</v>
      </c>
      <c r="C316" t="str">
        <f>"0001200221121715580098807"</f>
        <v>0001200221121715580098807</v>
      </c>
      <c r="D316" t="s">
        <v>110</v>
      </c>
      <c r="F316" s="3">
        <v>50</v>
      </c>
      <c r="G316" s="1">
        <v>785321.81</v>
      </c>
    </row>
    <row r="317" spans="1:7" x14ac:dyDescent="0.25">
      <c r="A317" s="2">
        <v>43090</v>
      </c>
      <c r="B317" s="2">
        <v>43090</v>
      </c>
      <c r="C317" t="str">
        <f>"0001200221121716240098876"</f>
        <v>0001200221121716240098876</v>
      </c>
      <c r="D317" t="s">
        <v>1403</v>
      </c>
      <c r="E317" s="3">
        <v>87854</v>
      </c>
      <c r="G317" s="1">
        <v>711914.71</v>
      </c>
    </row>
    <row r="318" spans="1:7" x14ac:dyDescent="0.25">
      <c r="A318" s="2">
        <v>43090</v>
      </c>
      <c r="B318" s="2">
        <v>43090</v>
      </c>
      <c r="C318" t="str">
        <f>"992112ESIM01"</f>
        <v>992112ESIM01</v>
      </c>
      <c r="D318" t="s">
        <v>1404</v>
      </c>
      <c r="F318" s="3">
        <v>405</v>
      </c>
      <c r="G318" s="1">
        <v>712319.71</v>
      </c>
    </row>
    <row r="319" spans="1:7" x14ac:dyDescent="0.25">
      <c r="A319" s="2">
        <v>43090</v>
      </c>
      <c r="B319" s="2">
        <v>43090</v>
      </c>
      <c r="C319" t="str">
        <f>"C367085OCP122017|103"</f>
        <v>C367085OCP122017|103</v>
      </c>
      <c r="D319" t="s">
        <v>1405</v>
      </c>
      <c r="F319" s="3">
        <v>3076</v>
      </c>
      <c r="G319" s="1">
        <v>715395.71</v>
      </c>
    </row>
    <row r="320" spans="1:7" x14ac:dyDescent="0.25">
      <c r="A320" s="2">
        <v>43090</v>
      </c>
      <c r="B320" s="2">
        <v>43090</v>
      </c>
      <c r="C320" t="str">
        <f t="shared" ref="C320:C325" si="2">"00000000"</f>
        <v>00000000</v>
      </c>
      <c r="D320" t="s">
        <v>1406</v>
      </c>
      <c r="E320" s="3">
        <v>10</v>
      </c>
      <c r="G320" s="1">
        <v>715385.71</v>
      </c>
    </row>
    <row r="321" spans="1:7" x14ac:dyDescent="0.25">
      <c r="A321" s="2">
        <v>43090</v>
      </c>
      <c r="B321" s="2">
        <v>43090</v>
      </c>
      <c r="C321" t="str">
        <f t="shared" si="2"/>
        <v>00000000</v>
      </c>
      <c r="D321" t="s">
        <v>1407</v>
      </c>
      <c r="E321" s="3">
        <v>10</v>
      </c>
      <c r="G321" s="1">
        <v>715375.71</v>
      </c>
    </row>
    <row r="322" spans="1:7" x14ac:dyDescent="0.25">
      <c r="A322" s="2">
        <v>43090</v>
      </c>
      <c r="B322" s="2">
        <v>43090</v>
      </c>
      <c r="C322" t="str">
        <f t="shared" si="2"/>
        <v>00000000</v>
      </c>
      <c r="D322" t="s">
        <v>1406</v>
      </c>
      <c r="E322" s="3">
        <v>1</v>
      </c>
      <c r="G322" s="1">
        <v>715374.71</v>
      </c>
    </row>
    <row r="323" spans="1:7" x14ac:dyDescent="0.25">
      <c r="A323" s="2">
        <v>43090</v>
      </c>
      <c r="B323" s="2">
        <v>43090</v>
      </c>
      <c r="C323" t="str">
        <f t="shared" si="2"/>
        <v>00000000</v>
      </c>
      <c r="D323" t="s">
        <v>1407</v>
      </c>
      <c r="E323" s="3">
        <v>1</v>
      </c>
      <c r="G323" s="1">
        <v>715373.71</v>
      </c>
    </row>
    <row r="324" spans="1:7" x14ac:dyDescent="0.25">
      <c r="A324" s="2">
        <v>43090</v>
      </c>
      <c r="B324" s="2">
        <v>43090</v>
      </c>
      <c r="C324" t="str">
        <f t="shared" si="2"/>
        <v>00000000</v>
      </c>
      <c r="D324" t="s">
        <v>1406</v>
      </c>
      <c r="F324" s="3">
        <v>15918.56</v>
      </c>
      <c r="G324" s="1">
        <v>731292.27</v>
      </c>
    </row>
    <row r="325" spans="1:7" x14ac:dyDescent="0.25">
      <c r="A325" s="2">
        <v>43090</v>
      </c>
      <c r="B325" s="2">
        <v>43090</v>
      </c>
      <c r="C325" t="str">
        <f t="shared" si="2"/>
        <v>00000000</v>
      </c>
      <c r="D325" t="s">
        <v>1407</v>
      </c>
      <c r="F325" s="3">
        <v>7080.6</v>
      </c>
      <c r="G325" s="1">
        <v>738372.87</v>
      </c>
    </row>
    <row r="326" spans="1:7" x14ac:dyDescent="0.25">
      <c r="A326" s="2">
        <v>43090</v>
      </c>
      <c r="B326" s="2">
        <v>43090</v>
      </c>
      <c r="C326" t="str">
        <f>"992112ESIM05"</f>
        <v>992112ESIM05</v>
      </c>
      <c r="D326" t="s">
        <v>1408</v>
      </c>
      <c r="F326" s="3">
        <v>1131</v>
      </c>
      <c r="G326" s="1">
        <v>739503.87</v>
      </c>
    </row>
    <row r="327" spans="1:7" x14ac:dyDescent="0.25">
      <c r="A327" s="2">
        <v>43091</v>
      </c>
      <c r="B327" s="2">
        <v>43091</v>
      </c>
      <c r="C327" t="str">
        <f>"S0673552182401|103"</f>
        <v>S0673552182401|103</v>
      </c>
      <c r="D327" t="s">
        <v>1409</v>
      </c>
      <c r="F327" s="3">
        <v>23789</v>
      </c>
      <c r="G327" s="1">
        <v>763292.87</v>
      </c>
    </row>
    <row r="328" spans="1:7" x14ac:dyDescent="0.25">
      <c r="A328" s="2">
        <v>43091</v>
      </c>
      <c r="B328" s="2">
        <v>43091</v>
      </c>
      <c r="C328" t="str">
        <f>"2017122100052955|103"</f>
        <v>2017122100052955|103</v>
      </c>
      <c r="D328" t="s">
        <v>1410</v>
      </c>
      <c r="F328" s="3">
        <v>1565</v>
      </c>
      <c r="G328" s="1">
        <v>764857.87</v>
      </c>
    </row>
    <row r="329" spans="1:7" x14ac:dyDescent="0.25">
      <c r="A329" s="2">
        <v>43091</v>
      </c>
      <c r="B329" s="2">
        <v>43091</v>
      </c>
      <c r="C329" t="str">
        <f>"2017122100052955|103"</f>
        <v>2017122100052955|103</v>
      </c>
      <c r="D329" t="s">
        <v>1411</v>
      </c>
      <c r="E329" s="3">
        <v>10</v>
      </c>
      <c r="G329" s="1">
        <v>764847.87</v>
      </c>
    </row>
    <row r="330" spans="1:7" x14ac:dyDescent="0.25">
      <c r="A330" s="2">
        <v>43091</v>
      </c>
      <c r="B330" s="2">
        <v>43091</v>
      </c>
      <c r="C330" t="str">
        <f>"SE07801712221710|103"</f>
        <v>SE07801712221710|103</v>
      </c>
      <c r="D330" t="s">
        <v>1412</v>
      </c>
      <c r="F330" s="3">
        <v>1633</v>
      </c>
      <c r="G330" s="1">
        <v>766480.87</v>
      </c>
    </row>
    <row r="331" spans="1:7" x14ac:dyDescent="0.25">
      <c r="A331" s="2">
        <v>43091</v>
      </c>
      <c r="B331" s="2">
        <v>43091</v>
      </c>
      <c r="C331" t="str">
        <f>"SE07801712221714|103"</f>
        <v>SE07801712221714|103</v>
      </c>
      <c r="D331" t="s">
        <v>1413</v>
      </c>
      <c r="F331" s="3">
        <v>513</v>
      </c>
      <c r="G331" s="1">
        <v>766993.87</v>
      </c>
    </row>
    <row r="332" spans="1:7" x14ac:dyDescent="0.25">
      <c r="A332" s="2">
        <v>43091</v>
      </c>
      <c r="B332" s="2">
        <v>43091</v>
      </c>
      <c r="C332" t="str">
        <f>"SE07801712221718|103"</f>
        <v>SE07801712221718|103</v>
      </c>
      <c r="D332" t="s">
        <v>1414</v>
      </c>
      <c r="F332" s="3">
        <v>3615</v>
      </c>
      <c r="G332" s="1">
        <v>770608.87</v>
      </c>
    </row>
    <row r="333" spans="1:7" x14ac:dyDescent="0.25">
      <c r="A333" s="2">
        <v>43091</v>
      </c>
      <c r="B333" s="2">
        <v>43091</v>
      </c>
      <c r="C333" t="str">
        <f>"SE07801712221716|103"</f>
        <v>SE07801712221716|103</v>
      </c>
      <c r="D333" t="s">
        <v>1415</v>
      </c>
      <c r="F333" s="3">
        <v>516</v>
      </c>
      <c r="G333" s="1">
        <v>771124.87</v>
      </c>
    </row>
    <row r="334" spans="1:7" x14ac:dyDescent="0.25">
      <c r="A334" s="2">
        <v>43091</v>
      </c>
      <c r="B334" s="2">
        <v>43091</v>
      </c>
      <c r="C334" t="str">
        <f>"SE07801712221712|103"</f>
        <v>SE07801712221712|103</v>
      </c>
      <c r="D334" t="s">
        <v>1416</v>
      </c>
      <c r="F334" s="3">
        <v>2188</v>
      </c>
      <c r="G334" s="1">
        <v>773312.87</v>
      </c>
    </row>
    <row r="335" spans="1:7" x14ac:dyDescent="0.25">
      <c r="A335" s="2">
        <v>43091</v>
      </c>
      <c r="B335" s="2">
        <v>43091</v>
      </c>
      <c r="C335" t="str">
        <f>"3735600980|103"</f>
        <v>3735600980|103</v>
      </c>
      <c r="D335" t="s">
        <v>1417</v>
      </c>
      <c r="F335" s="3">
        <v>27347.18</v>
      </c>
      <c r="G335" s="1">
        <v>800660.05</v>
      </c>
    </row>
    <row r="336" spans="1:7" x14ac:dyDescent="0.25">
      <c r="A336" s="2">
        <v>43091</v>
      </c>
      <c r="B336" s="2">
        <v>43091</v>
      </c>
      <c r="C336" t="str">
        <f>"022FT10173540028|103"</f>
        <v>022FT10173540028|103</v>
      </c>
      <c r="D336" t="s">
        <v>1418</v>
      </c>
      <c r="F336" s="3">
        <v>1085</v>
      </c>
      <c r="G336" s="1">
        <v>801745.05</v>
      </c>
    </row>
    <row r="337" spans="1:7" x14ac:dyDescent="0.25">
      <c r="A337" s="2">
        <v>43091</v>
      </c>
      <c r="B337" s="2">
        <v>43091</v>
      </c>
      <c r="C337" t="str">
        <f>"4710800355FC|103"</f>
        <v>4710800355FC|103</v>
      </c>
      <c r="D337" t="s">
        <v>1419</v>
      </c>
      <c r="F337" s="3">
        <v>3250</v>
      </c>
      <c r="G337" s="1">
        <v>804995.05</v>
      </c>
    </row>
    <row r="338" spans="1:7" x14ac:dyDescent="0.25">
      <c r="A338" s="2">
        <v>43091</v>
      </c>
      <c r="B338" s="2">
        <v>43091</v>
      </c>
      <c r="C338" t="str">
        <f>"4710800355FC|103"</f>
        <v>4710800355FC|103</v>
      </c>
      <c r="D338" t="s">
        <v>1420</v>
      </c>
      <c r="E338" s="3">
        <v>10</v>
      </c>
      <c r="G338" s="1">
        <v>804985.05</v>
      </c>
    </row>
    <row r="339" spans="1:7" x14ac:dyDescent="0.25">
      <c r="A339" s="2">
        <v>43091</v>
      </c>
      <c r="B339" s="2">
        <v>43091</v>
      </c>
      <c r="C339" t="str">
        <f>"0001200222121716010099833"</f>
        <v>0001200222121716010099833</v>
      </c>
      <c r="D339" t="s">
        <v>1421</v>
      </c>
      <c r="F339" s="3">
        <v>900</v>
      </c>
      <c r="G339" s="1">
        <v>805885.05</v>
      </c>
    </row>
    <row r="340" spans="1:7" x14ac:dyDescent="0.25">
      <c r="A340" s="2">
        <v>43091</v>
      </c>
      <c r="B340" s="2">
        <v>43091</v>
      </c>
      <c r="C340" t="str">
        <f>"0001200222121716010099835"</f>
        <v>0001200222121716010099835</v>
      </c>
      <c r="D340" t="s">
        <v>1421</v>
      </c>
      <c r="F340" s="3">
        <v>250</v>
      </c>
      <c r="G340" s="1">
        <v>806135.05</v>
      </c>
    </row>
    <row r="341" spans="1:7" x14ac:dyDescent="0.25">
      <c r="A341" s="2">
        <v>43091</v>
      </c>
      <c r="B341" s="2">
        <v>43091</v>
      </c>
      <c r="C341" t="str">
        <f>"0001200222121716020099837"</f>
        <v>0001200222121716020099837</v>
      </c>
      <c r="D341" t="s">
        <v>1421</v>
      </c>
      <c r="F341" s="3">
        <v>25</v>
      </c>
      <c r="G341" s="1">
        <v>806160.05</v>
      </c>
    </row>
    <row r="342" spans="1:7" x14ac:dyDescent="0.25">
      <c r="A342" s="2">
        <v>43091</v>
      </c>
      <c r="B342" s="2">
        <v>43091</v>
      </c>
      <c r="C342" t="str">
        <f>"3735605565|103"</f>
        <v>3735605565|103</v>
      </c>
      <c r="D342" t="s">
        <v>1422</v>
      </c>
      <c r="F342" s="3">
        <v>8486</v>
      </c>
      <c r="G342" s="1">
        <v>826934.05</v>
      </c>
    </row>
    <row r="343" spans="1:7" x14ac:dyDescent="0.25">
      <c r="A343" s="2">
        <v>43091</v>
      </c>
      <c r="B343" s="2">
        <v>43091</v>
      </c>
      <c r="C343" t="str">
        <f>"3735605656|103"</f>
        <v>3735605656|103</v>
      </c>
      <c r="D343" t="s">
        <v>1423</v>
      </c>
      <c r="F343" s="3">
        <v>192</v>
      </c>
      <c r="G343" s="1">
        <v>827126.05</v>
      </c>
    </row>
    <row r="344" spans="1:7" x14ac:dyDescent="0.25">
      <c r="A344" s="2">
        <v>43091</v>
      </c>
      <c r="B344" s="2">
        <v>43091</v>
      </c>
      <c r="C344" t="str">
        <f>"3735605661|103"</f>
        <v>3735605661|103</v>
      </c>
      <c r="D344" t="s">
        <v>1424</v>
      </c>
      <c r="F344" s="3">
        <v>1287</v>
      </c>
      <c r="G344" s="1">
        <v>828413.05</v>
      </c>
    </row>
    <row r="345" spans="1:7" x14ac:dyDescent="0.25">
      <c r="A345" s="2">
        <v>43091</v>
      </c>
      <c r="B345" s="2">
        <v>43091</v>
      </c>
      <c r="C345" t="str">
        <f>"3735605662|103"</f>
        <v>3735605662|103</v>
      </c>
      <c r="D345" t="s">
        <v>1425</v>
      </c>
      <c r="F345" s="3">
        <v>10082</v>
      </c>
      <c r="G345" s="1">
        <v>838495.05</v>
      </c>
    </row>
    <row r="346" spans="1:7" x14ac:dyDescent="0.25">
      <c r="A346" s="2">
        <v>43091</v>
      </c>
      <c r="B346" s="2">
        <v>43091</v>
      </c>
      <c r="C346" t="str">
        <f>"3735605664|103"</f>
        <v>3735605664|103</v>
      </c>
      <c r="D346" t="s">
        <v>1426</v>
      </c>
      <c r="F346" s="3">
        <v>9431</v>
      </c>
      <c r="G346" s="1">
        <v>847926.05</v>
      </c>
    </row>
    <row r="347" spans="1:7" x14ac:dyDescent="0.25">
      <c r="A347" s="2">
        <v>43091</v>
      </c>
      <c r="B347" s="2">
        <v>43091</v>
      </c>
      <c r="C347" t="str">
        <f>"0001200222121717130100007"</f>
        <v>0001200222121717130100007</v>
      </c>
      <c r="D347" t="s">
        <v>1427</v>
      </c>
      <c r="E347" s="3">
        <v>250</v>
      </c>
      <c r="G347" s="1">
        <v>847676.05</v>
      </c>
    </row>
    <row r="348" spans="1:7" x14ac:dyDescent="0.25">
      <c r="A348" s="2">
        <v>43091</v>
      </c>
      <c r="B348" s="2">
        <v>43091</v>
      </c>
      <c r="C348" t="str">
        <f t="shared" ref="C348:C353" si="3">"00000000"</f>
        <v>00000000</v>
      </c>
      <c r="D348" t="s">
        <v>1428</v>
      </c>
      <c r="E348" s="3">
        <v>10</v>
      </c>
      <c r="G348" s="1">
        <v>847666.05</v>
      </c>
    </row>
    <row r="349" spans="1:7" x14ac:dyDescent="0.25">
      <c r="A349" s="2">
        <v>43091</v>
      </c>
      <c r="B349" s="2">
        <v>43091</v>
      </c>
      <c r="C349" t="str">
        <f t="shared" si="3"/>
        <v>00000000</v>
      </c>
      <c r="D349" t="s">
        <v>1429</v>
      </c>
      <c r="E349" s="3">
        <v>10</v>
      </c>
      <c r="G349" s="1">
        <v>847656.05</v>
      </c>
    </row>
    <row r="350" spans="1:7" x14ac:dyDescent="0.25">
      <c r="A350" s="2">
        <v>43091</v>
      </c>
      <c r="B350" s="2">
        <v>43091</v>
      </c>
      <c r="C350" t="str">
        <f t="shared" si="3"/>
        <v>00000000</v>
      </c>
      <c r="D350" t="s">
        <v>1428</v>
      </c>
      <c r="E350" s="3">
        <v>1</v>
      </c>
      <c r="G350" s="1">
        <v>847655.05</v>
      </c>
    </row>
    <row r="351" spans="1:7" x14ac:dyDescent="0.25">
      <c r="A351" s="2">
        <v>43091</v>
      </c>
      <c r="B351" s="2">
        <v>43091</v>
      </c>
      <c r="C351" t="str">
        <f t="shared" si="3"/>
        <v>00000000</v>
      </c>
      <c r="D351" t="s">
        <v>1429</v>
      </c>
      <c r="E351" s="3">
        <v>1</v>
      </c>
      <c r="G351" s="1">
        <v>847654.05</v>
      </c>
    </row>
    <row r="352" spans="1:7" x14ac:dyDescent="0.25">
      <c r="A352" s="2">
        <v>43091</v>
      </c>
      <c r="B352" s="2">
        <v>43091</v>
      </c>
      <c r="C352" t="str">
        <f t="shared" si="3"/>
        <v>00000000</v>
      </c>
      <c r="D352" t="s">
        <v>1428</v>
      </c>
      <c r="F352" s="3">
        <v>12510.67</v>
      </c>
      <c r="G352" s="1">
        <v>860164.72</v>
      </c>
    </row>
    <row r="353" spans="1:7" x14ac:dyDescent="0.25">
      <c r="A353" s="2">
        <v>43091</v>
      </c>
      <c r="B353" s="2">
        <v>43091</v>
      </c>
      <c r="C353" t="str">
        <f t="shared" si="3"/>
        <v>00000000</v>
      </c>
      <c r="D353" t="s">
        <v>1429</v>
      </c>
      <c r="F353" s="3">
        <v>5695</v>
      </c>
      <c r="G353" s="1">
        <v>865859.72</v>
      </c>
    </row>
    <row r="354" spans="1:7" x14ac:dyDescent="0.25">
      <c r="A354" s="2">
        <v>43091</v>
      </c>
      <c r="B354" s="2">
        <v>43091</v>
      </c>
      <c r="C354" t="str">
        <f>"0001209922121717080591086"</f>
        <v>0001209922121717080591086</v>
      </c>
      <c r="D354" t="s">
        <v>1430</v>
      </c>
      <c r="E354" s="3">
        <v>390.99</v>
      </c>
      <c r="G354" s="1">
        <v>865468.73</v>
      </c>
    </row>
    <row r="355" spans="1:7" x14ac:dyDescent="0.25">
      <c r="A355" s="2">
        <v>43091</v>
      </c>
      <c r="B355" s="2">
        <v>43091</v>
      </c>
      <c r="C355" t="str">
        <f>"0001209922121717080591086"</f>
        <v>0001209922121717080591086</v>
      </c>
      <c r="D355" t="s">
        <v>248</v>
      </c>
      <c r="E355" s="3">
        <v>14.56</v>
      </c>
      <c r="G355" s="1">
        <v>865454.17</v>
      </c>
    </row>
    <row r="356" spans="1:7" x14ac:dyDescent="0.25">
      <c r="A356" s="2">
        <v>43091</v>
      </c>
      <c r="B356" s="2">
        <v>43091</v>
      </c>
      <c r="C356" t="str">
        <f>"0001209922121717080591086"</f>
        <v>0001209922121717080591086</v>
      </c>
      <c r="D356" t="s">
        <v>249</v>
      </c>
      <c r="E356" s="3">
        <v>1.46</v>
      </c>
      <c r="G356" s="1">
        <v>865452.71</v>
      </c>
    </row>
    <row r="357" spans="1:7" x14ac:dyDescent="0.25">
      <c r="A357" s="2">
        <v>43096</v>
      </c>
      <c r="B357" s="2">
        <v>43096</v>
      </c>
      <c r="C357" t="str">
        <f>"0001200213121715540092293"</f>
        <v>0001200213121715540092293</v>
      </c>
      <c r="D357" t="s">
        <v>1431</v>
      </c>
      <c r="F357" s="3">
        <v>10000</v>
      </c>
      <c r="G357" s="1">
        <v>585974.57999999996</v>
      </c>
    </row>
    <row r="358" spans="1:7" x14ac:dyDescent="0.25">
      <c r="A358" s="2">
        <v>43096</v>
      </c>
      <c r="B358" s="2">
        <v>43096</v>
      </c>
      <c r="C358" t="str">
        <f>"0001200213121715550092295"</f>
        <v>0001200213121715550092295</v>
      </c>
      <c r="D358" t="s">
        <v>1432</v>
      </c>
      <c r="F358" s="3">
        <v>10860</v>
      </c>
      <c r="G358" s="1">
        <v>596834.57999999996</v>
      </c>
    </row>
    <row r="359" spans="1:7" x14ac:dyDescent="0.25">
      <c r="A359" s="2">
        <v>43096</v>
      </c>
      <c r="B359" s="2">
        <v>43096</v>
      </c>
      <c r="C359" t="str">
        <f>"0001200213121715550092297"</f>
        <v>0001200213121715550092297</v>
      </c>
      <c r="D359" t="s">
        <v>1433</v>
      </c>
      <c r="F359" s="3">
        <v>303</v>
      </c>
      <c r="G359" s="1">
        <v>597137.57999999996</v>
      </c>
    </row>
    <row r="360" spans="1:7" x14ac:dyDescent="0.25">
      <c r="A360" s="2">
        <v>43096</v>
      </c>
      <c r="B360" s="2">
        <v>43096</v>
      </c>
      <c r="C360" t="str">
        <f>"0001200213121715560092301"</f>
        <v>0001200213121715560092301</v>
      </c>
      <c r="D360" t="s">
        <v>1434</v>
      </c>
      <c r="F360" s="3">
        <v>1360</v>
      </c>
      <c r="G360" s="1">
        <v>598497.57999999996</v>
      </c>
    </row>
    <row r="361" spans="1:7" x14ac:dyDescent="0.25">
      <c r="A361" s="2">
        <v>43096</v>
      </c>
      <c r="B361" s="2">
        <v>43096</v>
      </c>
      <c r="C361" t="str">
        <f>"0001200215121716050094230"</f>
        <v>0001200215121716050094230</v>
      </c>
      <c r="D361" t="s">
        <v>1389</v>
      </c>
      <c r="F361" s="3">
        <v>571</v>
      </c>
      <c r="G361" s="1">
        <v>277817.63</v>
      </c>
    </row>
    <row r="362" spans="1:7" x14ac:dyDescent="0.25">
      <c r="A362" s="2">
        <v>43096</v>
      </c>
      <c r="B362" s="2">
        <v>43096</v>
      </c>
      <c r="C362" t="str">
        <f>"0001200215121716050094235"</f>
        <v>0001200215121716050094235</v>
      </c>
      <c r="D362" t="s">
        <v>1435</v>
      </c>
      <c r="F362" s="3">
        <v>615</v>
      </c>
      <c r="G362" s="1">
        <v>278432.63</v>
      </c>
    </row>
    <row r="363" spans="1:7" x14ac:dyDescent="0.25">
      <c r="A363" s="2">
        <v>43096</v>
      </c>
      <c r="B363" s="2">
        <v>43096</v>
      </c>
      <c r="C363" t="str">
        <f>"0001200215121716060094238"</f>
        <v>0001200215121716060094238</v>
      </c>
      <c r="D363" t="s">
        <v>1436</v>
      </c>
      <c r="F363" s="3">
        <v>559</v>
      </c>
      <c r="G363" s="1">
        <v>278991.63</v>
      </c>
    </row>
    <row r="364" spans="1:7" x14ac:dyDescent="0.25">
      <c r="A364" s="2">
        <v>43096</v>
      </c>
      <c r="B364" s="2">
        <v>43096</v>
      </c>
      <c r="C364" t="str">
        <f>"0001200215121716070094244"</f>
        <v>0001200215121716070094244</v>
      </c>
      <c r="D364" t="s">
        <v>1437</v>
      </c>
      <c r="F364" s="3">
        <v>535</v>
      </c>
      <c r="G364" s="1">
        <v>279526.63</v>
      </c>
    </row>
    <row r="365" spans="1:7" x14ac:dyDescent="0.25">
      <c r="A365" s="2">
        <v>43096</v>
      </c>
      <c r="B365" s="2">
        <v>43096</v>
      </c>
      <c r="C365" t="str">
        <f>"0001200215121716080094247"</f>
        <v>0001200215121716080094247</v>
      </c>
      <c r="D365" t="s">
        <v>1438</v>
      </c>
      <c r="F365" s="3">
        <v>3495</v>
      </c>
      <c r="G365" s="1">
        <v>283021.63</v>
      </c>
    </row>
    <row r="366" spans="1:7" x14ac:dyDescent="0.25">
      <c r="A366" s="2">
        <v>43096</v>
      </c>
      <c r="B366" s="2">
        <v>43096</v>
      </c>
      <c r="C366" t="str">
        <f>"00106965  "</f>
        <v xml:space="preserve">00106965  </v>
      </c>
      <c r="D366" t="s">
        <v>1439</v>
      </c>
      <c r="E366" s="3">
        <v>1442.92</v>
      </c>
      <c r="G366" s="1">
        <v>864009.79</v>
      </c>
    </row>
    <row r="367" spans="1:7" x14ac:dyDescent="0.25">
      <c r="A367" s="2">
        <v>43096</v>
      </c>
      <c r="B367" s="2">
        <v>43096</v>
      </c>
      <c r="C367" t="str">
        <f>"00106989  "</f>
        <v xml:space="preserve">00106989  </v>
      </c>
      <c r="D367" t="s">
        <v>1440</v>
      </c>
      <c r="E367" s="3">
        <v>1074</v>
      </c>
      <c r="G367" s="1">
        <v>862935.79</v>
      </c>
    </row>
    <row r="368" spans="1:7" x14ac:dyDescent="0.25">
      <c r="A368" s="2">
        <v>43096</v>
      </c>
      <c r="B368" s="2">
        <v>43096</v>
      </c>
      <c r="C368" t="str">
        <f>"FT17356M4MNP|103"</f>
        <v>FT17356M4MNP|103</v>
      </c>
      <c r="D368" t="s">
        <v>1441</v>
      </c>
      <c r="F368" s="3">
        <v>6527</v>
      </c>
      <c r="G368" s="1">
        <v>869462.79</v>
      </c>
    </row>
    <row r="369" spans="1:7" x14ac:dyDescent="0.25">
      <c r="A369" s="2">
        <v>43096</v>
      </c>
      <c r="B369" s="2">
        <v>43096</v>
      </c>
      <c r="C369" t="str">
        <f>"FT17356B5T4K|103"</f>
        <v>FT17356B5T4K|103</v>
      </c>
      <c r="D369" t="s">
        <v>1442</v>
      </c>
      <c r="F369" s="3">
        <v>3243</v>
      </c>
      <c r="G369" s="1">
        <v>872705.79</v>
      </c>
    </row>
    <row r="370" spans="1:7" x14ac:dyDescent="0.25">
      <c r="A370" s="2">
        <v>43096</v>
      </c>
      <c r="B370" s="2">
        <v>43096</v>
      </c>
      <c r="C370" t="str">
        <f>"0001200227121712470101014"</f>
        <v>0001200227121712470101014</v>
      </c>
      <c r="D370" t="s">
        <v>211</v>
      </c>
      <c r="E370" s="3">
        <v>4173</v>
      </c>
      <c r="G370" s="1">
        <v>868532.79</v>
      </c>
    </row>
    <row r="371" spans="1:7" x14ac:dyDescent="0.25">
      <c r="A371" s="2">
        <v>43096</v>
      </c>
      <c r="B371" s="2">
        <v>43096</v>
      </c>
      <c r="C371" t="str">
        <f>"C778664OCP122217|103"</f>
        <v>C778664OCP122217|103</v>
      </c>
      <c r="D371" t="s">
        <v>1443</v>
      </c>
      <c r="F371" s="3">
        <v>450000</v>
      </c>
      <c r="G371" s="1">
        <v>1318532.79</v>
      </c>
    </row>
    <row r="372" spans="1:7" x14ac:dyDescent="0.25">
      <c r="A372" s="2">
        <v>43096</v>
      </c>
      <c r="B372" s="2">
        <v>43096</v>
      </c>
      <c r="C372" t="str">
        <f>"7458500356FC|103"</f>
        <v>7458500356FC|103</v>
      </c>
      <c r="D372" t="s">
        <v>1444</v>
      </c>
      <c r="F372" s="3">
        <v>15</v>
      </c>
      <c r="G372" s="1">
        <v>1318547.79</v>
      </c>
    </row>
    <row r="373" spans="1:7" x14ac:dyDescent="0.25">
      <c r="A373" s="2">
        <v>43096</v>
      </c>
      <c r="B373" s="2">
        <v>43096</v>
      </c>
      <c r="C373" t="str">
        <f>"7497900356FC|103"</f>
        <v>7497900356FC|103</v>
      </c>
      <c r="D373" t="s">
        <v>1445</v>
      </c>
      <c r="F373" s="3">
        <v>1265</v>
      </c>
      <c r="G373" s="1">
        <v>1319812.79</v>
      </c>
    </row>
    <row r="374" spans="1:7" x14ac:dyDescent="0.25">
      <c r="A374" s="2">
        <v>43096</v>
      </c>
      <c r="B374" s="2">
        <v>43096</v>
      </c>
      <c r="C374" t="str">
        <f>"C778664OCP122217|103"</f>
        <v>C778664OCP122217|103</v>
      </c>
      <c r="D374" t="s">
        <v>1446</v>
      </c>
      <c r="E374" s="3">
        <v>10</v>
      </c>
      <c r="G374" s="1">
        <v>1319802.79</v>
      </c>
    </row>
    <row r="375" spans="1:7" x14ac:dyDescent="0.25">
      <c r="A375" s="2">
        <v>43096</v>
      </c>
      <c r="B375" s="2">
        <v>43096</v>
      </c>
      <c r="C375" t="str">
        <f>"7497900356FC|103"</f>
        <v>7497900356FC|103</v>
      </c>
      <c r="D375" t="s">
        <v>1447</v>
      </c>
      <c r="E375" s="3">
        <v>10</v>
      </c>
      <c r="G375" s="1">
        <v>1319792.79</v>
      </c>
    </row>
    <row r="376" spans="1:7" x14ac:dyDescent="0.25">
      <c r="A376" s="2">
        <v>43096</v>
      </c>
      <c r="B376" s="2">
        <v>43096</v>
      </c>
      <c r="C376" t="str">
        <f>"7458500356FC|103"</f>
        <v>7458500356FC|103</v>
      </c>
      <c r="D376" t="s">
        <v>1448</v>
      </c>
      <c r="E376" s="3">
        <v>4</v>
      </c>
      <c r="G376" s="1">
        <v>1319788.79</v>
      </c>
    </row>
    <row r="377" spans="1:7" x14ac:dyDescent="0.25">
      <c r="A377" s="2">
        <v>43096</v>
      </c>
      <c r="B377" s="2">
        <v>43096</v>
      </c>
      <c r="C377" t="str">
        <f>"FT17361QTVFM|103"</f>
        <v>FT17361QTVFM|103</v>
      </c>
      <c r="D377" t="s">
        <v>1449</v>
      </c>
      <c r="F377" s="3">
        <v>22614</v>
      </c>
      <c r="G377" s="1">
        <v>1342402.79</v>
      </c>
    </row>
    <row r="378" spans="1:7" x14ac:dyDescent="0.25">
      <c r="A378" s="2">
        <v>43096</v>
      </c>
      <c r="B378" s="2">
        <v>43096</v>
      </c>
      <c r="C378" t="str">
        <f>"0001200227121714530101202"</f>
        <v>0001200227121714530101202</v>
      </c>
      <c r="D378" t="s">
        <v>274</v>
      </c>
      <c r="F378" s="3">
        <v>1705</v>
      </c>
      <c r="G378" s="1">
        <v>1344107.79</v>
      </c>
    </row>
    <row r="379" spans="1:7" x14ac:dyDescent="0.25">
      <c r="A379" s="2">
        <v>43096</v>
      </c>
      <c r="B379" s="2">
        <v>43096</v>
      </c>
      <c r="C379" t="str">
        <f>"0001200227121715050101213"</f>
        <v>0001200227121715050101213</v>
      </c>
      <c r="D379" t="s">
        <v>274</v>
      </c>
      <c r="F379" s="3">
        <v>463</v>
      </c>
      <c r="G379" s="1">
        <v>1344570.79</v>
      </c>
    </row>
    <row r="380" spans="1:7" x14ac:dyDescent="0.25">
      <c r="A380" s="2">
        <v>43096</v>
      </c>
      <c r="B380" s="2">
        <v>43096</v>
      </c>
      <c r="C380" t="str">
        <f>"0001200227121715060101214"</f>
        <v>0001200227121715060101214</v>
      </c>
      <c r="D380" t="s">
        <v>274</v>
      </c>
      <c r="F380" s="3">
        <v>150</v>
      </c>
      <c r="G380" s="1">
        <v>1344720.79</v>
      </c>
    </row>
    <row r="381" spans="1:7" x14ac:dyDescent="0.25">
      <c r="A381" s="2">
        <v>43096</v>
      </c>
      <c r="B381" s="2">
        <v>43096</v>
      </c>
      <c r="C381" t="str">
        <f>"0001200227121715060101215"</f>
        <v>0001200227121715060101215</v>
      </c>
      <c r="D381" t="s">
        <v>274</v>
      </c>
      <c r="F381" s="3">
        <v>1682</v>
      </c>
      <c r="G381" s="1">
        <v>1346402.79</v>
      </c>
    </row>
    <row r="382" spans="1:7" x14ac:dyDescent="0.25">
      <c r="A382" s="2">
        <v>43096</v>
      </c>
      <c r="B382" s="2">
        <v>43096</v>
      </c>
      <c r="C382" t="str">
        <f>"3762993945|103"</f>
        <v>3762993945|103</v>
      </c>
      <c r="D382" t="s">
        <v>1450</v>
      </c>
      <c r="F382" s="3">
        <v>9000</v>
      </c>
      <c r="G382" s="1">
        <v>1360758.79</v>
      </c>
    </row>
    <row r="383" spans="1:7" x14ac:dyDescent="0.25">
      <c r="A383" s="2">
        <v>43096</v>
      </c>
      <c r="B383" s="2">
        <v>43096</v>
      </c>
      <c r="C383" t="str">
        <f>"00000000"</f>
        <v>00000000</v>
      </c>
      <c r="D383" t="s">
        <v>1451</v>
      </c>
      <c r="F383" s="3">
        <v>3772</v>
      </c>
      <c r="G383" s="1">
        <v>1364530.79</v>
      </c>
    </row>
    <row r="384" spans="1:7" x14ac:dyDescent="0.25">
      <c r="A384" s="2">
        <v>43097</v>
      </c>
      <c r="B384" s="2">
        <v>43097</v>
      </c>
      <c r="C384" t="str">
        <f>"3736102045|103"</f>
        <v>3736102045|103</v>
      </c>
      <c r="D384" t="s">
        <v>1452</v>
      </c>
      <c r="F384" s="3">
        <v>23455</v>
      </c>
      <c r="G384" s="1">
        <v>1387985.79</v>
      </c>
    </row>
    <row r="385" spans="1:7" x14ac:dyDescent="0.25">
      <c r="A385" s="2">
        <v>43097</v>
      </c>
      <c r="B385" s="2">
        <v>43097</v>
      </c>
      <c r="C385" t="str">
        <f>"0001209928121713140592017"</f>
        <v>0001209928121713140592017</v>
      </c>
      <c r="D385" t="s">
        <v>1453</v>
      </c>
      <c r="E385" s="3">
        <v>615074.52</v>
      </c>
      <c r="G385" s="1">
        <v>772911.26</v>
      </c>
    </row>
    <row r="386" spans="1:7" x14ac:dyDescent="0.25">
      <c r="A386" s="2">
        <v>43097</v>
      </c>
      <c r="B386" s="2">
        <v>43097</v>
      </c>
      <c r="C386" t="str">
        <f>"0001209928121713140592017"</f>
        <v>0001209928121713140592017</v>
      </c>
      <c r="D386" t="s">
        <v>307</v>
      </c>
      <c r="E386" s="3">
        <v>4.84</v>
      </c>
      <c r="G386" s="1">
        <v>772906.42</v>
      </c>
    </row>
    <row r="387" spans="1:7" x14ac:dyDescent="0.25">
      <c r="A387" s="2">
        <v>43097</v>
      </c>
      <c r="B387" s="2">
        <v>43097</v>
      </c>
      <c r="C387" t="str">
        <f>"0001209928121713140592017"</f>
        <v>0001209928121713140592017</v>
      </c>
      <c r="D387" t="s">
        <v>249</v>
      </c>
      <c r="E387" s="3">
        <v>0.48</v>
      </c>
      <c r="G387" s="1">
        <v>772905.94</v>
      </c>
    </row>
    <row r="388" spans="1:7" x14ac:dyDescent="0.25">
      <c r="A388" s="2">
        <v>43097</v>
      </c>
      <c r="B388" s="2">
        <v>43097</v>
      </c>
      <c r="C388" t="str">
        <f>"0001209928121713180592019"</f>
        <v>0001209928121713180592019</v>
      </c>
      <c r="D388" t="s">
        <v>1454</v>
      </c>
      <c r="E388" s="3">
        <v>833719.32</v>
      </c>
      <c r="G388" s="1">
        <v>-60813.38</v>
      </c>
    </row>
    <row r="389" spans="1:7" x14ac:dyDescent="0.25">
      <c r="A389" s="2">
        <v>43097</v>
      </c>
      <c r="B389" s="2">
        <v>43097</v>
      </c>
      <c r="C389" t="str">
        <f>"0001209928121713180592019"</f>
        <v>0001209928121713180592019</v>
      </c>
      <c r="D389" t="s">
        <v>307</v>
      </c>
      <c r="E389" s="3">
        <v>4.84</v>
      </c>
      <c r="G389" s="1">
        <v>-60818.23</v>
      </c>
    </row>
    <row r="390" spans="1:7" x14ac:dyDescent="0.25">
      <c r="A390" s="2">
        <v>43097</v>
      </c>
      <c r="B390" s="2">
        <v>43097</v>
      </c>
      <c r="C390" t="str">
        <f>"0001209928121713180592019"</f>
        <v>0001209928121713180592019</v>
      </c>
      <c r="D390" t="s">
        <v>249</v>
      </c>
      <c r="E390" s="3">
        <v>0.48</v>
      </c>
      <c r="G390" s="1">
        <v>-60818.71</v>
      </c>
    </row>
    <row r="391" spans="1:7" x14ac:dyDescent="0.25">
      <c r="A391" s="2">
        <v>43097</v>
      </c>
      <c r="B391" s="2">
        <v>43097</v>
      </c>
      <c r="C391" t="str">
        <f>"013RTGS173620012|103"</f>
        <v>013RTGS173620012|103</v>
      </c>
      <c r="D391" t="s">
        <v>1455</v>
      </c>
      <c r="F391" s="3">
        <v>55610</v>
      </c>
      <c r="G391" s="1">
        <v>-5208.71</v>
      </c>
    </row>
    <row r="392" spans="1:7" x14ac:dyDescent="0.25">
      <c r="A392" s="2">
        <v>43097</v>
      </c>
      <c r="B392" s="2">
        <v>43097</v>
      </c>
      <c r="C392" t="str">
        <f>"0001209928121714430592127"</f>
        <v>0001209928121714430592127</v>
      </c>
      <c r="D392" t="s">
        <v>1456</v>
      </c>
      <c r="E392" s="3">
        <v>4898.2</v>
      </c>
      <c r="G392" s="1">
        <v>-10106.9</v>
      </c>
    </row>
    <row r="393" spans="1:7" x14ac:dyDescent="0.25">
      <c r="A393" s="2">
        <v>43097</v>
      </c>
      <c r="B393" s="2">
        <v>43097</v>
      </c>
      <c r="C393" t="str">
        <f>"0001209928121714430592127"</f>
        <v>0001209928121714430592127</v>
      </c>
      <c r="D393" t="s">
        <v>248</v>
      </c>
      <c r="E393" s="3">
        <v>14.54</v>
      </c>
      <c r="G393" s="1">
        <v>-10121.44</v>
      </c>
    </row>
    <row r="394" spans="1:7" x14ac:dyDescent="0.25">
      <c r="A394" s="2">
        <v>43097</v>
      </c>
      <c r="B394" s="2">
        <v>43097</v>
      </c>
      <c r="C394" t="str">
        <f>"0001209928121714430592127"</f>
        <v>0001209928121714430592127</v>
      </c>
      <c r="D394" t="s">
        <v>249</v>
      </c>
      <c r="E394" s="3">
        <v>1.45</v>
      </c>
      <c r="G394" s="1">
        <v>-10122.89</v>
      </c>
    </row>
    <row r="395" spans="1:7" x14ac:dyDescent="0.25">
      <c r="A395" s="2">
        <v>43097</v>
      </c>
      <c r="B395" s="2">
        <v>43097</v>
      </c>
      <c r="C395" t="str">
        <f>"094FT04173620031|103"</f>
        <v>094FT04173620031|103</v>
      </c>
      <c r="D395" t="s">
        <v>1457</v>
      </c>
      <c r="F395" s="3">
        <v>35000</v>
      </c>
      <c r="G395" s="1">
        <v>24877.11</v>
      </c>
    </row>
    <row r="396" spans="1:7" x14ac:dyDescent="0.25">
      <c r="A396" s="2">
        <v>43097</v>
      </c>
      <c r="B396" s="2">
        <v>43097</v>
      </c>
      <c r="C396" t="str">
        <f>"00000000"</f>
        <v>00000000</v>
      </c>
      <c r="D396" t="s">
        <v>1458</v>
      </c>
      <c r="E396" s="3">
        <v>10</v>
      </c>
      <c r="G396" s="1">
        <v>24867.11</v>
      </c>
    </row>
    <row r="397" spans="1:7" x14ac:dyDescent="0.25">
      <c r="A397" s="2">
        <v>43097</v>
      </c>
      <c r="B397" s="2">
        <v>43097</v>
      </c>
      <c r="C397" t="str">
        <f>"00000000"</f>
        <v>00000000</v>
      </c>
      <c r="D397" t="s">
        <v>1458</v>
      </c>
      <c r="E397" s="3">
        <v>1</v>
      </c>
      <c r="G397" s="1">
        <v>24866.11</v>
      </c>
    </row>
    <row r="398" spans="1:7" x14ac:dyDescent="0.25">
      <c r="A398" s="2">
        <v>43097</v>
      </c>
      <c r="B398" s="2">
        <v>43097</v>
      </c>
      <c r="C398" t="str">
        <f>"00000000"</f>
        <v>00000000</v>
      </c>
      <c r="D398" t="s">
        <v>1458</v>
      </c>
      <c r="F398" s="3">
        <v>41236.39</v>
      </c>
      <c r="G398" s="1">
        <v>66102.5</v>
      </c>
    </row>
    <row r="399" spans="1:7" x14ac:dyDescent="0.25">
      <c r="A399" s="2">
        <v>43098</v>
      </c>
      <c r="B399" s="2">
        <v>43098</v>
      </c>
      <c r="C399" t="str">
        <f>"0001200219121716120096951"</f>
        <v>0001200219121716120096951</v>
      </c>
      <c r="D399" t="s">
        <v>1459</v>
      </c>
      <c r="F399" s="3">
        <v>2280</v>
      </c>
      <c r="G399" s="1">
        <v>566455.06000000006</v>
      </c>
    </row>
    <row r="400" spans="1:7" x14ac:dyDescent="0.25">
      <c r="A400" s="2">
        <v>43098</v>
      </c>
      <c r="B400" s="2">
        <v>43098</v>
      </c>
      <c r="C400" t="str">
        <f>"0001200219121716120096954"</f>
        <v>0001200219121716120096954</v>
      </c>
      <c r="D400" t="s">
        <v>1318</v>
      </c>
      <c r="F400" s="3">
        <v>203</v>
      </c>
      <c r="G400" s="1">
        <v>566658.06000000006</v>
      </c>
    </row>
    <row r="401" spans="1:7" x14ac:dyDescent="0.25">
      <c r="A401" s="2">
        <v>43098</v>
      </c>
      <c r="B401" s="2">
        <v>43098</v>
      </c>
      <c r="C401" t="str">
        <f>"0001200219121716130096960"</f>
        <v>0001200219121716130096960</v>
      </c>
      <c r="D401" t="s">
        <v>1460</v>
      </c>
      <c r="F401" s="3">
        <v>2030</v>
      </c>
      <c r="G401" s="1">
        <v>568688.06000000006</v>
      </c>
    </row>
    <row r="402" spans="1:7" x14ac:dyDescent="0.25">
      <c r="A402" s="2">
        <v>43098</v>
      </c>
      <c r="B402" s="2">
        <v>43098</v>
      </c>
      <c r="C402" t="str">
        <f>"0001200219121716140096963"</f>
        <v>0001200219121716140096963</v>
      </c>
      <c r="D402" t="s">
        <v>1461</v>
      </c>
      <c r="F402" s="3">
        <v>5515</v>
      </c>
      <c r="G402" s="1">
        <v>574203.06000000006</v>
      </c>
    </row>
    <row r="403" spans="1:7" x14ac:dyDescent="0.25">
      <c r="A403" s="2">
        <v>43098</v>
      </c>
      <c r="B403" s="2">
        <v>43098</v>
      </c>
      <c r="C403" t="str">
        <f>"00000000"</f>
        <v>00000000</v>
      </c>
      <c r="D403" t="s">
        <v>1462</v>
      </c>
      <c r="E403" s="3">
        <v>2030</v>
      </c>
      <c r="G403" s="1">
        <v>66102.5</v>
      </c>
    </row>
    <row r="404" spans="1:7" x14ac:dyDescent="0.25">
      <c r="A404" s="2">
        <v>43098</v>
      </c>
      <c r="B404" s="2">
        <v>43098</v>
      </c>
      <c r="C404" t="str">
        <f>"3736300111|103"</f>
        <v>3736300111|103</v>
      </c>
      <c r="D404" t="s">
        <v>1463</v>
      </c>
      <c r="F404" s="3">
        <v>1949</v>
      </c>
      <c r="G404" s="1">
        <v>68051.5</v>
      </c>
    </row>
    <row r="405" spans="1:7" x14ac:dyDescent="0.25">
      <c r="A405" s="2">
        <v>43098</v>
      </c>
      <c r="B405" s="2">
        <v>43098</v>
      </c>
      <c r="C405" t="str">
        <f>"FT173621KPV7|103"</f>
        <v>FT173621KPV7|103</v>
      </c>
      <c r="D405" t="s">
        <v>1464</v>
      </c>
      <c r="F405" s="3">
        <v>68000</v>
      </c>
      <c r="G405" s="1">
        <v>136051.5</v>
      </c>
    </row>
    <row r="406" spans="1:7" x14ac:dyDescent="0.25">
      <c r="A406" s="2">
        <v>43098</v>
      </c>
      <c r="B406" s="2">
        <v>43098</v>
      </c>
      <c r="C406" t="str">
        <f>"4762200363FC|103"</f>
        <v>4762200363FC|103</v>
      </c>
      <c r="D406" t="s">
        <v>1465</v>
      </c>
      <c r="F406" s="3">
        <v>8866</v>
      </c>
      <c r="G406" s="1">
        <v>144917.5</v>
      </c>
    </row>
    <row r="407" spans="1:7" x14ac:dyDescent="0.25">
      <c r="A407" s="2">
        <v>43098</v>
      </c>
      <c r="B407" s="2">
        <v>43098</v>
      </c>
      <c r="C407" t="str">
        <f>"4762200363FC|103"</f>
        <v>4762200363FC|103</v>
      </c>
      <c r="D407" t="s">
        <v>1466</v>
      </c>
      <c r="E407" s="3">
        <v>10</v>
      </c>
      <c r="G407" s="1">
        <v>144907.5</v>
      </c>
    </row>
    <row r="408" spans="1:7" x14ac:dyDescent="0.25">
      <c r="A408" s="2">
        <v>43098</v>
      </c>
      <c r="B408" s="2">
        <v>43098</v>
      </c>
      <c r="C408" t="str">
        <f>"0001209129121715590023788"</f>
        <v>0001209129121715590023788</v>
      </c>
      <c r="D408" t="s">
        <v>211</v>
      </c>
      <c r="E408" s="3">
        <v>5785</v>
      </c>
      <c r="G408" s="1">
        <v>139122.5</v>
      </c>
    </row>
    <row r="409" spans="1:7" x14ac:dyDescent="0.25">
      <c r="A409" s="2">
        <v>43098</v>
      </c>
      <c r="B409" s="2">
        <v>43098</v>
      </c>
      <c r="C409" t="str">
        <f>"992912TBMA06"</f>
        <v>992912TBMA06</v>
      </c>
      <c r="D409" t="s">
        <v>1467</v>
      </c>
      <c r="E409" s="3">
        <v>10</v>
      </c>
      <c r="G409" s="1">
        <v>139112.5</v>
      </c>
    </row>
    <row r="410" spans="1:7" x14ac:dyDescent="0.25">
      <c r="A410" s="2">
        <v>43098</v>
      </c>
      <c r="B410" s="2">
        <v>43098</v>
      </c>
      <c r="C410" t="str">
        <f>"992912TBMA06"</f>
        <v>992912TBMA06</v>
      </c>
      <c r="D410" t="s">
        <v>1467</v>
      </c>
      <c r="E410" s="3">
        <v>1</v>
      </c>
      <c r="G410" s="1">
        <v>139111.5</v>
      </c>
    </row>
    <row r="411" spans="1:7" x14ac:dyDescent="0.25">
      <c r="A411" s="2">
        <v>43098</v>
      </c>
      <c r="B411" s="2">
        <v>43098</v>
      </c>
      <c r="C411" t="str">
        <f>"992912TBMA06"</f>
        <v>992912TBMA06</v>
      </c>
      <c r="D411" t="s">
        <v>1467</v>
      </c>
      <c r="F411" s="3">
        <v>8183.2</v>
      </c>
      <c r="G411" s="1">
        <v>147294.70000000001</v>
      </c>
    </row>
    <row r="412" spans="1:7" x14ac:dyDescent="0.25">
      <c r="A412" s="2">
        <v>43099</v>
      </c>
      <c r="B412" s="2">
        <v>43099</v>
      </c>
      <c r="C412" t="str">
        <f>"0001200230121710550103244"</f>
        <v>0001200230121710550103244</v>
      </c>
      <c r="D412" t="s">
        <v>110</v>
      </c>
      <c r="F412" s="3">
        <v>65</v>
      </c>
      <c r="G412" s="1">
        <v>147359.70000000001</v>
      </c>
    </row>
    <row r="413" spans="1:7" x14ac:dyDescent="0.25">
      <c r="A413" s="2">
        <v>43099</v>
      </c>
      <c r="B413" s="2">
        <v>43099</v>
      </c>
      <c r="C413" t="str">
        <f>"0001200230121710560103246"</f>
        <v>0001200230121710560103246</v>
      </c>
      <c r="D413" t="s">
        <v>110</v>
      </c>
      <c r="F413" s="3">
        <v>378</v>
      </c>
      <c r="G413" s="1">
        <v>147737.70000000001</v>
      </c>
    </row>
    <row r="414" spans="1:7" x14ac:dyDescent="0.25">
      <c r="A414" s="2">
        <v>43099</v>
      </c>
      <c r="B414" s="2">
        <v>43099</v>
      </c>
      <c r="C414" t="str">
        <f>"0001200230121710560103247"</f>
        <v>0001200230121710560103247</v>
      </c>
      <c r="D414" t="s">
        <v>110</v>
      </c>
      <c r="F414" s="3">
        <v>15</v>
      </c>
      <c r="G414" s="1">
        <v>147752.70000000001</v>
      </c>
    </row>
    <row r="415" spans="1:7" x14ac:dyDescent="0.25">
      <c r="A415" s="2">
        <v>43099</v>
      </c>
      <c r="B415" s="2">
        <v>43099</v>
      </c>
      <c r="C415" t="str">
        <f>"0001200230121710560103249"</f>
        <v>0001200230121710560103249</v>
      </c>
      <c r="D415" t="s">
        <v>110</v>
      </c>
      <c r="F415" s="3">
        <v>5</v>
      </c>
      <c r="G415" s="1">
        <v>147757.70000000001</v>
      </c>
    </row>
    <row r="416" spans="1:7" x14ac:dyDescent="0.25">
      <c r="A416" s="2">
        <v>43099</v>
      </c>
      <c r="B416" s="2">
        <v>43099</v>
      </c>
      <c r="C416" t="str">
        <f>"0001200230121710580103250"</f>
        <v>0001200230121710580103250</v>
      </c>
      <c r="D416" t="s">
        <v>110</v>
      </c>
      <c r="F416" s="3">
        <v>249</v>
      </c>
      <c r="G416" s="1">
        <v>148006.70000000001</v>
      </c>
    </row>
    <row r="417" spans="1:7" x14ac:dyDescent="0.25">
      <c r="A417" s="2">
        <v>43099</v>
      </c>
      <c r="B417" s="2">
        <v>43099</v>
      </c>
      <c r="C417" t="str">
        <f>"0001200230121710580103251"</f>
        <v>0001200230121710580103251</v>
      </c>
      <c r="D417" t="s">
        <v>110</v>
      </c>
      <c r="F417" s="3">
        <v>114</v>
      </c>
      <c r="G417" s="1">
        <v>148120.70000000001</v>
      </c>
    </row>
    <row r="418" spans="1:7" x14ac:dyDescent="0.25">
      <c r="A418" s="2">
        <v>43099</v>
      </c>
      <c r="B418" s="2">
        <v>43099</v>
      </c>
      <c r="C418" t="str">
        <f>"0001203930121714060232379"</f>
        <v>0001203930121714060232379</v>
      </c>
      <c r="D418" t="s">
        <v>110</v>
      </c>
      <c r="F418" s="3">
        <v>22</v>
      </c>
      <c r="G418" s="1">
        <v>148142.70000000001</v>
      </c>
    </row>
    <row r="419" spans="1:7" x14ac:dyDescent="0.25">
      <c r="A419" s="2">
        <v>43101</v>
      </c>
      <c r="B419" s="2">
        <v>43101</v>
      </c>
      <c r="C419" t="str">
        <f>"0001200220121714470097646"</f>
        <v>0001200220121714470097646</v>
      </c>
      <c r="D419" t="s">
        <v>1460</v>
      </c>
      <c r="F419" s="3">
        <v>2034</v>
      </c>
      <c r="G419" s="1">
        <v>720500.81</v>
      </c>
    </row>
    <row r="420" spans="1:7" x14ac:dyDescent="0.25">
      <c r="A420" s="2">
        <v>43101</v>
      </c>
      <c r="B420" s="2">
        <v>43101</v>
      </c>
      <c r="C420" t="str">
        <f>"0001200221121716040098828"</f>
        <v>0001200221121716040098828</v>
      </c>
      <c r="D420" t="s">
        <v>1468</v>
      </c>
      <c r="F420" s="3">
        <v>509.9</v>
      </c>
      <c r="G420" s="1">
        <v>785831.71</v>
      </c>
    </row>
    <row r="421" spans="1:7" x14ac:dyDescent="0.25">
      <c r="A421" s="2">
        <v>43101</v>
      </c>
      <c r="B421" s="2">
        <v>43101</v>
      </c>
      <c r="C421" t="str">
        <f>"0001200221121716130098853"</f>
        <v>0001200221121716130098853</v>
      </c>
      <c r="D421" t="s">
        <v>1469</v>
      </c>
      <c r="F421" s="3">
        <v>443</v>
      </c>
      <c r="G421" s="1">
        <v>786274.71</v>
      </c>
    </row>
    <row r="422" spans="1:7" x14ac:dyDescent="0.25">
      <c r="A422" s="2">
        <v>43101</v>
      </c>
      <c r="B422" s="2">
        <v>43101</v>
      </c>
      <c r="C422" t="str">
        <f>"0001200221121716140098855"</f>
        <v>0001200221121716140098855</v>
      </c>
      <c r="D422" t="s">
        <v>1470</v>
      </c>
      <c r="F422" s="3">
        <v>11999</v>
      </c>
      <c r="G422" s="1">
        <v>798273.71</v>
      </c>
    </row>
    <row r="423" spans="1:7" x14ac:dyDescent="0.25">
      <c r="A423" s="2">
        <v>43101</v>
      </c>
      <c r="B423" s="2">
        <v>43101</v>
      </c>
      <c r="C423" t="str">
        <f>"0001200221121716150098859"</f>
        <v>0001200221121716150098859</v>
      </c>
      <c r="D423" t="s">
        <v>1471</v>
      </c>
      <c r="F423" s="3">
        <v>466</v>
      </c>
      <c r="G423" s="1">
        <v>798739.71</v>
      </c>
    </row>
    <row r="424" spans="1:7" x14ac:dyDescent="0.25">
      <c r="A424" s="2">
        <v>43101</v>
      </c>
      <c r="B424" s="2">
        <v>43101</v>
      </c>
      <c r="C424" t="str">
        <f>"0001200221121716160098863"</f>
        <v>0001200221121716160098863</v>
      </c>
      <c r="D424" t="s">
        <v>1472</v>
      </c>
      <c r="F424" s="3">
        <v>348</v>
      </c>
      <c r="G424" s="1">
        <v>799087.71</v>
      </c>
    </row>
    <row r="425" spans="1:7" x14ac:dyDescent="0.25">
      <c r="A425" s="2">
        <v>43101</v>
      </c>
      <c r="B425" s="2">
        <v>43101</v>
      </c>
      <c r="C425" t="str">
        <f>"0001200221121716170098865"</f>
        <v>0001200221121716170098865</v>
      </c>
      <c r="D425" t="s">
        <v>1473</v>
      </c>
      <c r="F425" s="3">
        <v>681</v>
      </c>
      <c r="G425" s="1">
        <v>799768.71</v>
      </c>
    </row>
    <row r="426" spans="1:7" x14ac:dyDescent="0.25">
      <c r="A426" s="2">
        <v>43103</v>
      </c>
      <c r="B426" s="2">
        <v>43103</v>
      </c>
      <c r="C426" t="str">
        <f>"0001200222121716150099866"</f>
        <v>0001200222121716150099866</v>
      </c>
      <c r="D426" t="s">
        <v>1474</v>
      </c>
      <c r="F426" s="3">
        <v>11758</v>
      </c>
      <c r="G426" s="1">
        <v>817918.05</v>
      </c>
    </row>
    <row r="427" spans="1:7" x14ac:dyDescent="0.25">
      <c r="A427" s="2">
        <v>43103</v>
      </c>
      <c r="B427" s="2">
        <v>43103</v>
      </c>
      <c r="C427" t="str">
        <f>"0001200222121716160099872"</f>
        <v>0001200222121716160099872</v>
      </c>
      <c r="D427" t="s">
        <v>1475</v>
      </c>
      <c r="F427" s="3">
        <v>530</v>
      </c>
      <c r="G427" s="1">
        <v>818448.05</v>
      </c>
    </row>
    <row r="428" spans="1:7" x14ac:dyDescent="0.25">
      <c r="A428" s="2">
        <v>43108</v>
      </c>
      <c r="B428" s="2">
        <v>43108</v>
      </c>
      <c r="C428" t="str">
        <f>"0001200227121715120101228"</f>
        <v>0001200227121715120101228</v>
      </c>
      <c r="D428" t="s">
        <v>1476</v>
      </c>
      <c r="F428" s="3">
        <v>300</v>
      </c>
      <c r="G428" s="1">
        <v>1346702.79</v>
      </c>
    </row>
    <row r="429" spans="1:7" x14ac:dyDescent="0.25">
      <c r="A429" s="2">
        <v>43108</v>
      </c>
      <c r="B429" s="2">
        <v>43108</v>
      </c>
      <c r="C429" t="str">
        <f>"0001200227121715130101231"</f>
        <v>0001200227121715130101231</v>
      </c>
      <c r="D429" t="s">
        <v>1477</v>
      </c>
      <c r="F429" s="3">
        <v>5056</v>
      </c>
      <c r="G429" s="1">
        <v>1351758.79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AUG 2017</vt:lpstr>
      <vt:lpstr>SEPT 2017</vt:lpstr>
      <vt:lpstr>OCT 2017</vt:lpstr>
      <vt:lpstr>NOV -17</vt:lpstr>
      <vt:lpstr>DEC 17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2018-08-31T07:10:26Z</dcterms:created>
  <dcterms:modified xsi:type="dcterms:W3CDTF">2018-09-03T07:22:33Z</dcterms:modified>
</cp:coreProperties>
</file>